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Municipal\2025\Municipal SPR Report Package-2024\Municipal SPR Canned Financial Statements\"/>
    </mc:Choice>
  </mc:AlternateContent>
  <xr:revisionPtr revIDLastSave="0" documentId="13_ncr:1_{3FD6B2BC-B814-410F-BCCD-4E3898A6A131}" xr6:coauthVersionLast="47" xr6:coauthVersionMax="47" xr10:uidLastSave="{00000000-0000-0000-0000-000000000000}"/>
  <bookViews>
    <workbookView xWindow="-108" yWindow="-108" windowWidth="23256" windowHeight="12456" firstSheet="2"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Calculations!$A$1:$L$210</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C152" i="10"/>
  <c r="C151" i="10"/>
  <c r="C150" i="10"/>
  <c r="C149" i="10"/>
  <c r="E125" i="10"/>
  <c r="F123" i="10"/>
  <c r="E121" i="10"/>
  <c r="F95" i="10"/>
  <c r="F93" i="10"/>
  <c r="F91" i="10"/>
  <c r="E10" i="7" l="1"/>
  <c r="E19" i="7"/>
  <c r="E18" i="7"/>
  <c r="E17" i="7"/>
  <c r="E16" i="7"/>
  <c r="E15" i="7"/>
  <c r="E14" i="7"/>
  <c r="E13" i="7"/>
  <c r="E12" i="7"/>
  <c r="E11" i="7"/>
  <c r="C14" i="7"/>
  <c r="T14" i="2" l="1"/>
  <c r="H43" i="1" l="1"/>
  <c r="H44" i="1"/>
  <c r="C153" i="10"/>
  <c r="A103" i="10"/>
  <c r="C11" i="7"/>
  <c r="R41" i="3" l="1"/>
  <c r="R62" i="3"/>
  <c r="C57" i="3"/>
  <c r="B57" i="3"/>
  <c r="C36" i="3"/>
  <c r="B36" i="3"/>
  <c r="N36" i="3" l="1"/>
  <c r="O57" i="3"/>
  <c r="M57" i="3"/>
  <c r="P57" i="3"/>
  <c r="N57" i="3"/>
  <c r="O36" i="3"/>
  <c r="P36" i="3"/>
  <c r="M36" i="3"/>
  <c r="Q57" i="3" l="1"/>
  <c r="Q36" i="3"/>
  <c r="P20" i="3" l="1"/>
  <c r="U23" i="2"/>
  <c r="T23" i="2"/>
  <c r="U15" i="2"/>
  <c r="T15" i="2"/>
  <c r="U25" i="2" l="1"/>
  <c r="I12" i="8" s="1"/>
  <c r="T25" i="2"/>
  <c r="H105" i="1"/>
  <c r="M20" i="3"/>
  <c r="N20" i="3"/>
  <c r="O20" i="3"/>
  <c r="H38" i="1"/>
  <c r="C10" i="7"/>
  <c r="C12" i="7"/>
  <c r="C154" i="10"/>
  <c r="E12" i="8" l="1"/>
  <c r="C12" i="8"/>
  <c r="C75" i="10"/>
  <c r="Q20" i="3"/>
  <c r="B56" i="3"/>
  <c r="C56" i="3"/>
  <c r="C35" i="3"/>
  <c r="B35" i="3"/>
  <c r="N19" i="3"/>
  <c r="G12" i="8" l="1"/>
  <c r="O56" i="3"/>
  <c r="L56" i="3"/>
  <c r="M56" i="3"/>
  <c r="N56" i="3"/>
  <c r="O35" i="3"/>
  <c r="L35" i="3"/>
  <c r="M35" i="3"/>
  <c r="N35" i="3"/>
  <c r="L19" i="3"/>
  <c r="O19" i="3"/>
  <c r="M19" i="3"/>
  <c r="P56" i="3" l="1"/>
  <c r="P35" i="3"/>
  <c r="P19" i="3"/>
  <c r="S23" i="2" l="1"/>
  <c r="U27" i="2" s="1"/>
  <c r="G11" i="7" s="1"/>
  <c r="I11" i="7" s="1"/>
  <c r="R23" i="2"/>
  <c r="T27" i="2" s="1"/>
  <c r="S15" i="2"/>
  <c r="R15" i="2"/>
  <c r="R25" i="2" l="1"/>
  <c r="C76" i="10" s="1"/>
  <c r="S25" i="2"/>
  <c r="I13" i="8" s="1"/>
  <c r="P15" i="2"/>
  <c r="C13" i="7"/>
  <c r="B55" i="3"/>
  <c r="C55" i="3"/>
  <c r="C37" i="3"/>
  <c r="C34" i="3"/>
  <c r="B34" i="3"/>
  <c r="E13" i="8" l="1"/>
  <c r="C13" i="8"/>
  <c r="L55" i="3"/>
  <c r="N55" i="3"/>
  <c r="M55" i="3"/>
  <c r="K55" i="3"/>
  <c r="G13" i="8" l="1"/>
  <c r="O55" i="3"/>
  <c r="N18" i="3" l="1"/>
  <c r="M18" i="3"/>
  <c r="Q23" i="2"/>
  <c r="P23" i="2"/>
  <c r="Q15" i="2"/>
  <c r="O23" i="2"/>
  <c r="N23" i="2"/>
  <c r="O15" i="2"/>
  <c r="N15" i="2"/>
  <c r="S27" i="2" l="1"/>
  <c r="G12" i="7" s="1"/>
  <c r="P25" i="2"/>
  <c r="R27" i="2"/>
  <c r="P27" i="2"/>
  <c r="Q27" i="2"/>
  <c r="G13" i="7" s="1"/>
  <c r="N25" i="2"/>
  <c r="C15" i="8" s="1"/>
  <c r="Q25" i="2"/>
  <c r="I14" i="8" s="1"/>
  <c r="K18" i="3"/>
  <c r="L18" i="3"/>
  <c r="O25" i="2"/>
  <c r="I15" i="8" s="1"/>
  <c r="E15" i="8" l="1"/>
  <c r="G15" i="8" s="1"/>
  <c r="E14" i="8"/>
  <c r="C14" i="8"/>
  <c r="G14" i="8" s="1"/>
  <c r="O18" i="3"/>
  <c r="M235" i="12"/>
  <c r="C15" i="7" l="1"/>
  <c r="M23" i="2" l="1"/>
  <c r="L23" i="2"/>
  <c r="M15" i="2"/>
  <c r="L15" i="2"/>
  <c r="O27" i="2" l="1"/>
  <c r="G14" i="7" s="1"/>
  <c r="I14" i="7" s="1"/>
  <c r="N27" i="2"/>
  <c r="L25" i="2"/>
  <c r="M25" i="2"/>
  <c r="I16" i="8" s="1"/>
  <c r="E16" i="8" l="1"/>
  <c r="K16" i="8" s="1"/>
  <c r="C16" i="8"/>
  <c r="G16" i="8" l="1"/>
  <c r="C16" i="7"/>
  <c r="W23" i="2" l="1"/>
  <c r="V23" i="2"/>
  <c r="H109" i="1" s="1"/>
  <c r="W15" i="2"/>
  <c r="W27" i="2" s="1"/>
  <c r="V15" i="2"/>
  <c r="V27" i="2" s="1"/>
  <c r="J44" i="1"/>
  <c r="H107" i="1" l="1"/>
  <c r="W25" i="2"/>
  <c r="I11" i="8" s="1"/>
  <c r="V25" i="2"/>
  <c r="E11" i="8" l="1"/>
  <c r="K11" i="8" s="1"/>
  <c r="C11" i="8"/>
  <c r="G11" i="8" s="1"/>
  <c r="C74" i="10"/>
  <c r="K12" i="8"/>
  <c r="I12" i="7"/>
  <c r="G10" i="7"/>
  <c r="I10" i="7" s="1"/>
  <c r="K13" i="8"/>
  <c r="K14" i="8"/>
  <c r="K15" i="8"/>
  <c r="C19" i="7"/>
  <c r="C23" i="2" l="1"/>
  <c r="B23" i="2"/>
  <c r="C15" i="2"/>
  <c r="B15" i="2"/>
  <c r="B25" i="2" l="1"/>
  <c r="C25" i="2"/>
  <c r="C18" i="7" l="1"/>
  <c r="B50" i="3" l="1"/>
  <c r="B49" i="3"/>
  <c r="B48" i="3"/>
  <c r="C58" i="3"/>
  <c r="C54" i="3"/>
  <c r="C53" i="3"/>
  <c r="C52" i="3"/>
  <c r="C51" i="3"/>
  <c r="C50" i="3"/>
  <c r="C49" i="3"/>
  <c r="C48" i="3"/>
  <c r="C33" i="3"/>
  <c r="C32" i="3"/>
  <c r="C31" i="3"/>
  <c r="C30" i="3"/>
  <c r="C29" i="3"/>
  <c r="C28" i="3"/>
  <c r="C27" i="3"/>
  <c r="B29" i="3"/>
  <c r="B28" i="3"/>
  <c r="B27" i="3"/>
  <c r="E48" i="3" l="1"/>
  <c r="D27" i="3"/>
  <c r="D39" i="3" s="1"/>
  <c r="H28" i="3"/>
  <c r="F50" i="3"/>
  <c r="G50" i="3" s="1"/>
  <c r="D48" i="3"/>
  <c r="F49" i="3"/>
  <c r="E49" i="3"/>
  <c r="F28" i="3"/>
  <c r="E28" i="3"/>
  <c r="G28" i="3"/>
  <c r="I29" i="3"/>
  <c r="F29" i="3"/>
  <c r="G29" i="3"/>
  <c r="H29" i="3"/>
  <c r="E27" i="3"/>
  <c r="E39" i="3" l="1"/>
  <c r="I28" i="3"/>
  <c r="J28" i="3" s="1"/>
  <c r="H50" i="3"/>
  <c r="I50" i="3" s="1"/>
  <c r="F48" i="3"/>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F92" i="1"/>
  <c r="F90" i="1"/>
  <c r="F121" i="1"/>
  <c r="G20" i="8" l="1"/>
  <c r="D102" i="10"/>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7" i="1"/>
  <c r="E17" i="8"/>
  <c r="K17" i="8" s="1"/>
  <c r="C17" i="8"/>
  <c r="E18" i="8"/>
  <c r="C18" i="8"/>
  <c r="E19" i="8"/>
  <c r="K19" i="8" s="1"/>
  <c r="C19" i="8"/>
  <c r="G19" i="8" s="1"/>
  <c r="H86" i="1"/>
  <c r="H91" i="1" s="1"/>
  <c r="J43" i="1"/>
  <c r="J38" i="1"/>
  <c r="H53" i="1" s="1"/>
  <c r="G18" i="8" l="1"/>
  <c r="G17" i="8"/>
  <c r="H90" i="1"/>
  <c r="H89" i="1"/>
  <c r="H92" i="1"/>
  <c r="H202" i="1"/>
  <c r="K18" i="8"/>
  <c r="J151" i="1"/>
  <c r="F54" i="1"/>
  <c r="H143" i="1" s="1"/>
  <c r="I17" i="7"/>
  <c r="F56" i="1"/>
  <c r="J145" i="1" s="1"/>
  <c r="H54" i="1"/>
  <c r="H56" i="1"/>
  <c r="H118" i="1"/>
  <c r="J62" i="1"/>
  <c r="J86" i="1"/>
  <c r="H50" i="1"/>
  <c r="F50" i="1"/>
  <c r="J61" i="1"/>
  <c r="J178" i="1" s="1"/>
  <c r="H178" i="1" l="1"/>
  <c r="H121" i="1"/>
  <c r="K121" i="1" s="1"/>
  <c r="K55" i="1"/>
  <c r="J176" i="1" s="1"/>
  <c r="D18" i="4" s="1"/>
  <c r="G91" i="11" s="1"/>
  <c r="G94" i="11" s="1"/>
  <c r="I16" i="7"/>
  <c r="E133" i="10"/>
  <c r="A140" i="10" s="1"/>
  <c r="C49" i="4"/>
  <c r="E49" i="11" s="1"/>
  <c r="J198" i="1"/>
  <c r="D36" i="4" s="1"/>
  <c r="G49" i="11" s="1"/>
  <c r="C35" i="4"/>
  <c r="E122" i="11" s="1"/>
  <c r="K56" i="1"/>
  <c r="J177" i="1" s="1"/>
  <c r="J203"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J174" i="1"/>
  <c r="D16" i="4" s="1"/>
  <c r="G35" i="11" s="1"/>
  <c r="G44" i="11" s="1"/>
  <c r="J175" i="1"/>
  <c r="D17" i="4" s="1"/>
  <c r="G48" i="11" s="1"/>
  <c r="G53" i="11" s="1"/>
  <c r="K93" i="1"/>
  <c r="K124" i="1"/>
  <c r="C16" i="4" l="1"/>
  <c r="E35" i="11" s="1"/>
  <c r="M34" i="11" s="1"/>
  <c r="M44" i="11" s="1"/>
  <c r="E94" i="11"/>
  <c r="L95" i="1"/>
  <c r="G56" i="11"/>
  <c r="D52" i="4"/>
  <c r="G125" i="12" s="1"/>
  <c r="K95" i="1"/>
  <c r="K125" i="1"/>
  <c r="E44" i="11" l="1"/>
  <c r="J97" i="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H191" i="1" s="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F130" i="10" s="1"/>
  <c r="Q60" i="3"/>
  <c r="R37" i="3"/>
  <c r="Q41" i="3" s="1"/>
  <c r="P39" i="3"/>
  <c r="O34" i="3"/>
  <c r="N54" i="3"/>
  <c r="N33" i="3"/>
  <c r="M16" i="3"/>
  <c r="I53" i="3"/>
  <c r="L53" i="3"/>
  <c r="K53" i="3"/>
  <c r="J53" i="3"/>
  <c r="L32" i="3"/>
  <c r="I32" i="3"/>
  <c r="K32" i="3"/>
  <c r="J32" i="3"/>
  <c r="L15" i="3"/>
  <c r="K31" i="3"/>
  <c r="I31" i="3"/>
  <c r="J31" i="3"/>
  <c r="H31" i="3"/>
  <c r="H39" i="3" s="1"/>
  <c r="K52" i="3"/>
  <c r="H52" i="3"/>
  <c r="J52" i="3"/>
  <c r="I52" i="3"/>
  <c r="K51" i="3"/>
  <c r="K30" i="3"/>
  <c r="G41" i="3" s="1"/>
  <c r="P62" i="3" l="1"/>
  <c r="M62" i="3"/>
  <c r="J158" i="1" s="1"/>
  <c r="H169" i="1"/>
  <c r="M41" i="3"/>
  <c r="H157" i="1" s="1"/>
  <c r="J167" i="1"/>
  <c r="O62" i="3"/>
  <c r="N41" i="3"/>
  <c r="E130" i="10" s="1"/>
  <c r="R60" i="3"/>
  <c r="Q62" i="3"/>
  <c r="R39" i="3"/>
  <c r="O41" i="3"/>
  <c r="P41" i="3"/>
  <c r="Q39" i="3"/>
  <c r="J39" i="3"/>
  <c r="P60" i="3"/>
  <c r="I39" i="3"/>
  <c r="O39" i="3"/>
  <c r="K39" i="3"/>
  <c r="N39" i="3"/>
  <c r="O60" i="3"/>
  <c r="N60" i="3"/>
  <c r="I60" i="3"/>
  <c r="M53" i="3"/>
  <c r="M32" i="3"/>
  <c r="L41" i="3" s="1"/>
  <c r="J60" i="3"/>
  <c r="L31" i="3"/>
  <c r="L52" i="3"/>
  <c r="H60" i="3"/>
  <c r="K60" i="3"/>
  <c r="G62" i="3"/>
  <c r="K41" i="3" l="1"/>
  <c r="C17" i="4"/>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l="1"/>
  <c r="G121" i="11"/>
  <c r="E53" i="11"/>
  <c r="E56" i="11" s="1"/>
  <c r="C156" i="10"/>
  <c r="D8" i="4"/>
  <c r="G99" i="11" s="1"/>
  <c r="G103" i="11" s="1"/>
  <c r="H159" i="1"/>
  <c r="J159" i="1"/>
  <c r="C20" i="4"/>
  <c r="E103" i="11"/>
  <c r="D22" i="4" l="1"/>
  <c r="G123" i="12" s="1"/>
  <c r="G156" i="12" s="1"/>
  <c r="G290" i="12" s="1"/>
  <c r="G292" i="12" s="1"/>
  <c r="M99" i="11"/>
  <c r="M103" i="11" s="1"/>
  <c r="D9" i="4"/>
  <c r="G120" i="11" s="1"/>
  <c r="G128" i="11" s="1"/>
  <c r="G131" i="11" s="1"/>
  <c r="E121" i="11"/>
  <c r="E128" i="11" s="1"/>
  <c r="E131" i="11" s="1"/>
  <c r="C22" i="4"/>
  <c r="E123" i="12" s="1"/>
  <c r="E156" i="12" s="1"/>
  <c r="E290" i="12" s="1"/>
  <c r="E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A21867C1-0AE0-4673-A49D-A052BCF318F9}">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2" authorId="0" shapeId="0" xr:uid="{286169DC-C28C-428A-A388-AF7D631785FE}">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<sst xmlns="http://schemas.openxmlformats.org/spreadsheetml/2006/main" count="1257" uniqueCount="960">
  <si>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</si>
  <si>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</si>
  <si>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</si>
  <si>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</si>
  <si>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</si>
  <si>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</si>
  <si>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</si>
  <si>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</si>
  <si>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</si>
  <si>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</si>
  <si>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</si>
  <si>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</si>
  <si>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</si>
  <si>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</si>
  <si>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</si>
  <si>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</si>
  <si>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</si>
  <si>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</si>
  <si>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</si>
  <si>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</si>
  <si>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</si>
  <si>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</si>
  <si>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</si>
  <si>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</si>
  <si>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</si>
  <si>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</si>
  <si>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</si>
  <si>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</si>
  <si>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</si>
  <si>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</si>
  <si>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</si>
  <si>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</si>
  <si>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</si>
  <si>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</si>
  <si>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</si>
  <si>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</si>
  <si>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</si>
  <si>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</si>
  <si>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</si>
  <si>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</si>
  <si>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</si>
  <si>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</si>
  <si>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</si>
  <si>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</si>
  <si>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</si>
  <si>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</si>
  <si>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</si>
  <si>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</si>
  <si>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</si>
  <si>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</si>
  <si>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</si>
  <si>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</si>
  <si>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</si>
  <si>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</si>
  <si>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</si>
  <si>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</si>
  <si>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</si>
  <si>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</si>
  <si>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</si>
  <si>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</si>
  <si>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</si>
  <si>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</si>
  <si>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</si>
  <si>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</si>
  <si>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</si>
  <si>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</si>
  <si>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</si>
  <si>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</si>
  <si>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</si>
  <si>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</si>
  <si>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</si>
  <si>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</si>
  <si>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</si>
  <si>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</si>
  <si>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</si>
  <si>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</si>
  <si>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</si>
  <si>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</si>
  <si>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</si>
  <si>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</si>
  <si>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</si>
  <si>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</si>
  <si>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</si>
  <si>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</si>
  <si>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</si>
  <si>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</si>
  <si>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</si>
  <si>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</si>
  <si>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</si>
  <si>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</si>
  <si>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</si>
  <si>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</si>
  <si>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</si>
  <si>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</si>
  <si>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</si>
  <si>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</si>
  <si>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</si>
  <si>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</si>
  <si>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</si>
  <si>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</si>
  <si>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</si>
  <si>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</si>
  <si>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</si>
  <si>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</si>
  <si>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</si>
  <si>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</si>
  <si>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</si>
  <si>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</si>
  <si>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</si>
  <si>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</si>
  <si>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</si>
  <si>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</si>
  <si>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</si>
  <si>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</si>
  <si>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</si>
  <si>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</si>
  <si>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</si>
  <si>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</si>
  <si>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</si>
  <si>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</si>
  <si>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</si>
  <si>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</si>
  <si>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</si>
  <si>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</si>
  <si>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</si>
  <si>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</si>
  <si>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</si>
  <si>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</si>
  <si>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</si>
  <si>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</si>
  <si>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</si>
  <si>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</si>
  <si>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</si>
  <si>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</si>
  <si>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</si>
  <si>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</si>
  <si>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</si>
  <si>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</si>
  <si>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</si>
  <si>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</si>
  <si>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</si>
  <si>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</si>
  <si>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</si>
  <si>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</si>
  <si>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</si>
  <si>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</si>
  <si>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</si>
  <si>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</si>
  <si>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</si>
  <si>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</si>
  <si>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</si>
  <si>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</si>
  <si>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</si>
  <si>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</si>
  <si>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</si>
  <si>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</si>
  <si>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</si>
  <si>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</si>
  <si>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</si>
  <si>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</si>
  <si>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</si>
  <si>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</si>
  <si>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</si>
  <si>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</si>
  <si>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</si>
  <si>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</si>
  <si>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</si>
  <si>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</si>
  <si>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</si>
  <si>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</si>
  <si>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</si>
  <si>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</si>
  <si>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</si>
  <si>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</si>
  <si>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</si>
  <si>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</si>
  <si>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</si>
  <si>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</si>
  <si>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</si>
  <si>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</si>
  <si>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</si>
  <si>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</si>
  <si>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</si>
  <si>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</si>
  <si>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</si>
  <si>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</si>
  <si>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</si>
  <si>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</si>
  <si>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</si>
  <si>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</si>
  <si>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</si>
  <si>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</si>
  <si>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</si>
  <si>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</si>
  <si>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</si>
  <si>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</si>
  <si>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</si>
  <si>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</si>
  <si>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</si>
  <si>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</si>
  <si>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</si>
  <si>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</si>
  <si>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</si>
  <si>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</si>
  <si>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</si>
  <si>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</si>
  <si>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</si>
  <si>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</si>
  <si>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</si>
  <si>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</si>
  <si>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</si>
  <si>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</si>
  <si>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</si>
  <si>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</si>
  <si>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</si>
  <si>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</si>
  <si>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</si>
  <si>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</si>
  <si>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</si>
  <si>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</si>
  <si>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</si>
  <si>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</si>
  <si>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</si>
  <si>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</si>
  <si>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</si>
  <si>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</si>
  <si>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</si>
  <si>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</si>
  <si>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</si>
  <si>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</si>
  <si>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</si>
  <si>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</si>
  <si>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</si>
  <si>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</si>
  <si>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</si>
  <si>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</si>
  <si>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</si>
  <si>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</si>
  <si>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</si>
  <si>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</si>
  <si>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</si>
  <si>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</si>
  <si>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</si>
  <si>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</si>
  <si>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</si>
  <si>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</si>
  <si>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</si>
  <si>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</si>
  <si>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</si>
  <si>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</si>
  <si>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</si>
  <si>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</si>
  <si>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</si>
  <si>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</si>
  <si>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</si>
  <si>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</si>
  <si>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</si>
  <si>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</si>
  <si>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</si>
  <si>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</si>
  <si>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</si>
  <si>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</si>
  <si>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</si>
  <si>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</si>
  <si>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</si>
  <si>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</si>
  <si>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</si>
  <si>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</si>
  <si>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</si>
  <si>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</si>
  <si>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</si>
  <si>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</si>
  <si>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</si>
  <si>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</si>
  <si>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</si>
  <si>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</si>
  <si>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</si>
  <si>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</si>
  <si>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</si>
  <si>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</si>
  <si>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</si>
  <si>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</si>
  <si>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</si>
  <si>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</si>
  <si>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</si>
  <si>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</si>
  <si>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</si>
  <si>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</si>
  <si>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</si>
  <si>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</si>
  <si>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</si>
  <si>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</si>
  <si>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</si>
  <si>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</si>
  <si>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</si>
  <si>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</si>
  <si>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</si>
  <si>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</si>
  <si>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</si>
  <si>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</si>
  <si>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</si>
  <si>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</si>
  <si>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</si>
  <si>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</si>
  <si>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</si>
  <si>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</si>
  <si>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</si>
  <si>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</si>
  <si>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</si>
  <si>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</si>
  <si>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</si>
  <si>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</si>
  <si>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</si>
  <si>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</si>
  <si>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</si>
  <si>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</si>
  <si>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</si>
  <si>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</si>
  <si>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</si>
  <si>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</si>
  <si>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</si>
  <si>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</si>
  <si>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</si>
  <si>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</si>
  <si>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</si>
  <si>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</si>
  <si>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</si>
  <si>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</si>
  <si>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</si>
  <si>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</si>
  <si>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</si>
  <si>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</si>
  <si>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</si>
  <si>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</si>
  <si>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</si>
  <si>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</si>
  <si>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</si>
  <si>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</si>
  <si>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</si>
  <si>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</si>
  <si>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</si>
  <si>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</si>
  <si>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</si>
  <si>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</si>
  <si>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</si>
  <si>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</si>
  <si>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</si>
  <si>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</si>
  <si>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</si>
  <si>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</si>
  <si>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</si>
  <si>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</si>
  <si>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</si>
  <si>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</si>
  <si>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</si>
  <si>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</si>
  <si>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</si>
  <si>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</si>
  <si>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</si>
  <si>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</si>
  <si>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</si>
  <si>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</si>
  <si>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</si>
  <si>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</si>
  <si>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</si>
  <si>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</si>
  <si>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</si>
  <si>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</si>
  <si>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</si>
  <si>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</si>
  <si>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</si>
  <si>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</si>
  <si>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</si>
  <si>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</si>
  <si>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</si>
  <si>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</si>
  <si>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</si>
  <si>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</si>
  <si>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</si>
  <si>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</si>
  <si>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</si>
  <si>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</si>
  <si>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</si>
  <si>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</si>
  <si>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</si>
  <si>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</si>
  <si>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</si>
  <si>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</si>
  <si>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</si>
  <si>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</si>
  <si>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</si>
  <si>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</si>
  <si>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</si>
  <si>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</si>
  <si>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</si>
  <si>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</si>
  <si>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</si>
  <si>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</si>
  <si>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</si>
  <si>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</si>
  <si>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</si>
  <si>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</si>
  <si>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</si>
  <si>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</si>
  <si>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</si>
  <si>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</si>
  <si>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</si>
  <si>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</si>
  <si>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</si>
  <si>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</si>
  <si>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</si>
  <si>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</si>
  <si>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</si>
  <si>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</si>
  <si>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</si>
  <si>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</si>
  <si>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</si>
  <si>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</si>
  <si>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</si>
  <si>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</si>
  <si>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</si>
  <si>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</si>
  <si>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</si>
  <si>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</si>
  <si>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</si>
  <si>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</si>
  <si>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</si>
  <si>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</si>
  <si>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</si>
  <si>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</si>
  <si>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</si>
  <si>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</si>
  <si>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</si>
  <si>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</si>
  <si>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</si>
  <si>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</si>
  <si>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</si>
  <si>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</si>
  <si>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</si>
  <si>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</si>
  <si>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</si>
  <si>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</si>
  <si>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</si>
  <si>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</si>
  <si>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</si>
  <si>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</si>
  <si>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</si>
  <si>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</si>
  <si>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</si>
  <si>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</si>
  <si>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</si>
  <si>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</si>
  <si>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</si>
  <si>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</si>
  <si>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</si>
  <si>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</si>
  <si>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</si>
  <si>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</si>
  <si>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</si>
  <si>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</si>
  <si>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</si>
  <si>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</si>
  <si>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</si>
  <si>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</si>
  <si>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</si>
  <si>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</si>
  <si>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</si>
  <si>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</si>
  <si>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</si>
  <si>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</si>
  <si>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</si>
  <si>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</si>
  <si>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</si>
  <si>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</si>
  <si>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</si>
  <si>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</si>
  <si>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</si>
  <si>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</si>
  <si>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</si>
  <si>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</si>
  <si>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</si>
  <si>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</si>
  <si>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</si>
  <si>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</si>
  <si>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</si>
  <si>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</si>
  <si>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</si>
  <si>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</si>
  <si>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</si>
  <si>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</si>
  <si>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</si>
  <si>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</si>
  <si>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</si>
  <si>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</si>
  <si>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</si>
  <si>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</si>
  <si>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</si>
  <si>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</si>
  <si>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</si>
  <si>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</si>
  <si>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</si>
  <si>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</si>
  <si>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</si>
  <si>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</si>
  <si>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</si>
  <si>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</si>
  <si>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</si>
  <si>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</si>
  <si>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</si>
  <si>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</si>
  <si>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</si>
  <si>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</si>
  <si>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</si>
  <si>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</si>
  <si>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</si>
  <si>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</si>
  <si>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</si>
  <si>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</si>
  <si>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</si>
  <si>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</si>
  <si>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</si>
  <si>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</si>
  <si>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</si>
  <si>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</si>
  <si>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</si>
  <si>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</si>
  <si>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</si>
  <si>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</si>
  <si>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</si>
  <si>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</si>
  <si>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</si>
  <si>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</si>
  <si>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</si>
  <si>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</si>
  <si>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</si>
  <si>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</si>
  <si>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</si>
  <si>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</si>
  <si>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</si>
  <si>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</si>
  <si>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</si>
  <si>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</si>
  <si>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</si>
  <si>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</si>
  <si>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</si>
  <si>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</si>
  <si>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</si>
  <si>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</si>
  <si>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</si>
  <si>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</si>
  <si>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</si>
  <si>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</si>
  <si>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</si>
  <si>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</si>
  <si>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</si>
  <si>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</si>
  <si>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</si>
  <si>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</si>
  <si>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</si>
  <si>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</si>
  <si>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</si>
  <si>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</si>
  <si>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</si>
  <si>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</si>
  <si>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</si>
  <si>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</si>
  <si>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</si>
  <si>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</si>
  <si>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</si>
  <si>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</si>
  <si>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</si>
  <si>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</si>
  <si>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</si>
  <si>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</si>
  <si>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</si>
  <si>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</si>
  <si>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</si>
  <si>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</si>
  <si>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</si>
  <si>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</si>
  <si>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</si>
  <si>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</si>
  <si>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</si>
  <si>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</si>
  <si>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</si>
  <si>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</si>
  <si>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</si>
  <si>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</si>
  <si>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</si>
  <si>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</si>
  <si>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</si>
  <si>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</si>
  <si>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</si>
  <si>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</si>
  <si>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</si>
  <si>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</si>
  <si>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</si>
  <si>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</si>
  <si>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</si>
  <si>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</si>
  <si>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</si>
  <si>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</si>
  <si>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</si>
  <si>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</si>
  <si>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</si>
  <si>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</si>
  <si>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</si>
  <si>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</si>
  <si>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</si>
  <si>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</si>
  <si>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</si>
  <si>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</si>
  <si>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</si>
  <si>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</si>
  <si>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</si>
  <si>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</si>
  <si>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</si>
  <si>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</si>
  <si>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</si>
  <si>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</si>
  <si>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</si>
  <si>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</si>
  <si>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</si>
  <si>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</si>
  <si>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</si>
  <si>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</si>
  <si>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</si>
  <si>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</si>
  <si>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</si>
  <si>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</si>
  <si>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</si>
  <si>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</si>
  <si>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</si>
  <si>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</si>
  <si>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</si>
  <si>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</si>
  <si>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</si>
  <si>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</si>
  <si>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</si>
  <si>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</si>
  <si>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</si>
  <si>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</si>
  <si>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</si>
  <si>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</si>
  <si>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</si>
  <si>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</si>
  <si>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</si>
  <si>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</si>
  <si>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</si>
  <si>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</si>
  <si>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</si>
  <si>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</si>
  <si>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</si>
  <si>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</si>
  <si>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</si>
  <si>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</si>
  <si>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</si>
  <si>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</si>
  <si>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</si>
  <si>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</si>
  <si>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</si>
  <si>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</si>
  <si>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</si>
  <si>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</si>
  <si>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</si>
  <si>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</si>
  <si>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</si>
  <si>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</si>
  <si>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</si>
  <si>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</si>
  <si>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</si>
  <si>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</si>
  <si>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</si>
  <si>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</si>
  <si>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</si>
  <si>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</si>
  <si>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</si>
  <si>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</si>
  <si>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</si>
  <si>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</si>
  <si>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</si>
  <si>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</si>
  <si>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</si>
  <si>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</si>
  <si>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</si>
  <si>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</si>
  <si>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</si>
  <si>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</si>
  <si>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</si>
  <si>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</si>
  <si>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</si>
  <si>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</si>
  <si>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</si>
  <si>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</si>
  <si>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</si>
  <si>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</si>
  <si>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</si>
  <si>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</si>
  <si>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</si>
  <si>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</si>
  <si>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</si>
  <si>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</si>
  <si>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</si>
  <si>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</si>
  <si>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</si>
  <si>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</si>
  <si>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</si>
  <si>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</si>
  <si>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</si>
  <si>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</si>
  <si>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</si>
  <si>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</si>
  <si>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</si>
  <si>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</si>
  <si>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</si>
  <si>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</si>
  <si>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</si>
  <si>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</si>
  <si>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</si>
  <si>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</si>
  <si>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</si>
  <si>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</si>
  <si>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</si>
  <si>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</si>
  <si>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</si>
  <si>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</si>
  <si>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</si>
  <si>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</si>
  <si>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</si>
  <si>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</si>
  <si>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</si>
  <si>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</si>
  <si>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</si>
  <si>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</si>
  <si>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</si>
  <si>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</si>
  <si>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</si>
  <si>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</si>
  <si>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</si>
  <si>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</si>
  <si>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</si>
  <si>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</si>
  <si>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</si>
  <si>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</si>
  <si>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</si>
  <si>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</si>
  <si>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</si>
  <si>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</si>
  <si>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</si>
  <si>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</si>
  <si>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</si>
  <si>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</si>
  <si>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</si>
  <si>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</si>
  <si>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</si>
  <si>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</si>
  <si>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</si>
  <si>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</si>
  <si>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</si>
  <si>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</si>
  <si>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</si>
  <si>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</si>
  <si>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</si>
  <si>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</si>
  <si>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</si>
  <si>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</si>
  <si>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</si>
  <si>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</si>
  <si>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</si>
  <si>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</si>
  <si>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</si>
  <si>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</si>
  <si>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</si>
  <si>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</si>
  <si>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</si>
  <si>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</si>
  <si>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</si>
  <si>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</si>
  <si>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</si>
  <si>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</si>
  <si>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</si>
  <si>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</si>
  <si>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</si>
  <si>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</si>
  <si>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</si>
  <si>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</si>
  <si>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</si>
  <si>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</si>
  <si>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</si>
  <si>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</si>
  <si>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</si>
  <si>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</si>
  <si>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</si>
  <si>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</si>
  <si>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</si>
  <si>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</si>
  <si>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</si>
  <si>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</si>
  <si>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</si>
  <si>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</si>
  <si>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</si>
  <si>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</si>
  <si>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</si>
  <si>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</si>
  <si>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</si>
  <si>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</si>
  <si>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</si>
  <si>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</si>
  <si>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</si>
  <si>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</si>
  <si>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</si>
  <si>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</si>
  <si>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</si>
  <si>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</si>
  <si>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</si>
  <si>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</si>
  <si>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</si>
  <si>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</si>
  <si>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</si>
  <si>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</si>
  <si>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</si>
  <si>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</si>
  <si>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</si>
  <si>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</si>
  <si>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</si>
  <si>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</si>
  <si>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</si>
  <si>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</si>
  <si>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</si>
  <si>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</si>
  <si>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</si>
  <si>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</si>
  <si>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</si>
  <si>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</si>
  <si>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</si>
  <si>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</si>
  <si>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</si>
  <si>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</si>
  <si>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</si>
  <si>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</si>
  <si>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</si>
  <si>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</si>
  <si>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</si>
  <si>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</si>
  <si>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</si>
  <si>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</si>
  <si>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</si>
  <si>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</si>
  <si>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</si>
  <si>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</si>
  <si>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</si>
  <si>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</si>
  <si>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</si>
  <si>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</si>
  <si>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</si>
  <si>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</si>
  <si>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</si>
  <si>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</si>
  <si>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</si>
  <si>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</si>
  <si>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</si>
  <si>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</si>
  <si>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</si>
  <si>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</si>
  <si>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</si>
  <si>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</si>
  <si>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</si>
  <si>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</si>
  <si>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</si>
  <si>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</si>
  <si>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</si>
  <si>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</si>
  <si>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</si>
  <si>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</si>
  <si>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</si>
  <si>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</si>
  <si>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</si>
  <si>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</si>
  <si>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</si>
  <si>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</si>
  <si>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</si>
  <si>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2023 Employer Share Retirement</t>
  </si>
  <si>
    <t>2023 Covered Payroll</t>
  </si>
  <si>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</si>
  <si>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</si>
  <si>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</si>
  <si>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</si>
  <si>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</si>
  <si>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</si>
  <si>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</si>
  <si>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</si>
  <si>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</si>
  <si>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</si>
  <si>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at 6/30/24</t>
  </si>
  <si>
    <t>2024 Employer Share Retirement</t>
  </si>
  <si>
    <t>2024 Covered Payroll</t>
  </si>
  <si>
    <r>
      <t>Deferred Outflows of Resources--</t>
    </r>
    <r>
      <rPr>
        <sz val="10"/>
        <color theme="1"/>
        <rFont val="Arial"/>
        <family val="2"/>
      </rPr>
      <t>Employer contributions 7/1/24 to 12/31/24</t>
    </r>
  </si>
  <si>
    <t xml:space="preserve"> Last 10 Years </t>
  </si>
  <si>
    <t xml:space="preserve">disability, and survivor benefits.  Authority for establishing, </t>
  </si>
  <si>
    <t xml:space="preserve">actuarial experience study for the period of July 1, 2016 to June 30, 2021.   </t>
  </si>
  <si>
    <t>SCHEDULE OF THE MUNICIPALITY'S PROPORTIONATE SHARE OF THE NET PENSION LIABILITY (ASSET)</t>
  </si>
  <si>
    <t>Calendar Year</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</si>
  <si>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</si>
  <si>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</si>
  <si>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r>
      <t>COUNTY</t>
    </r>
    <r>
      <rPr>
        <b/>
        <i/>
        <sz val="12"/>
        <color theme="1"/>
        <rFont val="Arial"/>
        <family val="2"/>
      </rPr>
      <t xml:space="preserve"> </t>
    </r>
    <r>
      <rPr>
        <b/>
        <sz val="12"/>
        <color theme="1"/>
        <rFont val="Arial"/>
        <family val="2"/>
      </rPr>
      <t>OF __________________________</t>
    </r>
  </si>
  <si>
    <t>County's Proportion of the Net Pension Liability/Asset</t>
  </si>
  <si>
    <t>County's Proportionate Share of the Net Pension Liability/Asset</t>
  </si>
  <si>
    <t>County's Covered Payroll</t>
  </si>
  <si>
    <t>County's Proportionate Share of the Net Pension Liability (Asset) as a Percentage of its Covered Payroll</t>
  </si>
  <si>
    <t>Contractually Required Contribution</t>
  </si>
  <si>
    <t>Contributions in Relation to the Contractually Required Contribution</t>
  </si>
  <si>
    <t>Contribution Deficiency (Excess)</t>
  </si>
  <si>
    <t>Contributions as a Percentage of Covered Payroll</t>
  </si>
  <si>
    <t>Covered Payroll</t>
  </si>
  <si>
    <t>________________________ COUNTY</t>
  </si>
  <si>
    <t>SCHEDULE OF THE COUNTY PENSION CONTRIBUTIONS</t>
  </si>
  <si>
    <t>SUPPLEMENTARY INFORMATION</t>
  </si>
  <si>
    <t>__________________COUNTY</t>
  </si>
  <si>
    <t xml:space="preserve">Notes to Supplementary Information </t>
  </si>
  <si>
    <t>This worksheet is intended to assist Local Gov'ts in the proper accounting for GASB 68 Pension for Employers in CY25 (implementation in CY15).</t>
  </si>
  <si>
    <t xml:space="preserve">Amounts--June 30, 2025.   The amortization period is based on the remaining expected service lives of all employees that are </t>
  </si>
  <si>
    <r>
      <t xml:space="preserve">provided with pensions through SDRS  = </t>
    </r>
    <r>
      <rPr>
        <b/>
        <i/>
        <sz val="12"/>
        <color theme="1"/>
        <rFont val="Arial"/>
        <family val="2"/>
      </rPr>
      <t>4.29 years</t>
    </r>
    <r>
      <rPr>
        <i/>
        <sz val="12"/>
        <color theme="1"/>
        <rFont val="Arial"/>
        <family val="2"/>
      </rPr>
      <t xml:space="preserve">.  </t>
    </r>
  </si>
  <si>
    <t>at 6/30/25</t>
  </si>
  <si>
    <t>In addition, the Employers proportionate share of collective pension expense (reduction of pension expense) for the measurement period ending June 30 2025 is:</t>
  </si>
  <si>
    <t>GASB 68: PENSION  FOR EMPLOYERS- DECEMBER 31, 2025 YEAR-END CALCULATIONS</t>
  </si>
  <si>
    <t>2025 Employer Share Retirement</t>
  </si>
  <si>
    <t>2025 Covered Payroll</t>
  </si>
  <si>
    <t xml:space="preserve">●  July 1, 2024 to December 31, 2024= </t>
  </si>
  <si>
    <t>reported as a deferred outflow of resources at 12/31/24</t>
  </si>
  <si>
    <t xml:space="preserve">●  January 1, 2025 to June 30, 2025= </t>
  </si>
  <si>
    <t xml:space="preserve">● July 1, 2025 to December 31, 2025 = </t>
  </si>
  <si>
    <t xml:space="preserve">  Prepare Journal Entries for Employer's Fiscal Year Ending 12/31/25</t>
  </si>
  <si>
    <r>
      <t>Employer Contribution Expense--</t>
    </r>
    <r>
      <rPr>
        <sz val="10"/>
        <color theme="1"/>
        <rFont val="Arial"/>
        <family val="2"/>
      </rPr>
      <t>Employer contributions 7/1/24 to 12/31/24</t>
    </r>
  </si>
  <si>
    <r>
      <t xml:space="preserve">     Deferred Outflows of Resources--</t>
    </r>
    <r>
      <rPr>
        <sz val="10"/>
        <color theme="1"/>
        <rFont val="Arial"/>
        <family val="2"/>
      </rPr>
      <t>Employer contributions 7/1/24 to 12/31/24</t>
    </r>
  </si>
  <si>
    <r>
      <t>Deferred Outflows of Resources--</t>
    </r>
    <r>
      <rPr>
        <sz val="10"/>
        <color theme="1"/>
        <rFont val="Arial"/>
        <family val="2"/>
      </rPr>
      <t>Employer contributions 7/1/25 to 12/31/25</t>
    </r>
  </si>
  <si>
    <r>
      <t xml:space="preserve">      Employer Contribution Expense--</t>
    </r>
    <r>
      <rPr>
        <sz val="10"/>
        <color theme="1"/>
        <rFont val="Arial"/>
        <family val="2"/>
      </rPr>
      <t>Employer contributions 7/1/25 to 12/31/25</t>
    </r>
  </si>
  <si>
    <t xml:space="preserve">     Pension Expense-proportionate share of prior period adjustment </t>
  </si>
  <si>
    <t xml:space="preserve">Retirement System recognized a collective prior period adjustment to Net Pension Asset of </t>
  </si>
  <si>
    <t xml:space="preserve">pension expense in this period.   </t>
  </si>
  <si>
    <t xml:space="preserve">of ($316,989).   To record employer's proportionate share of the immaterial PPA as a </t>
  </si>
  <si>
    <t>The June 30, 2025 Actuarial Valuation reflects no changes to the plan provisions or actuarial methods and
one change to the actuarial assumptions from the June 30, 2024 Actuarial Valuation.</t>
  </si>
  <si>
    <t>During the 2025 Legislative Session no significant SDRS benefit changes were made.</t>
  </si>
  <si>
    <t>As of June 30, 2024, the FVFR, assuming the long-term COLA is equal to the baseline COLA assumption
(2.25%), was less than 100% and the July 2025 SDRS COLA was limited to a restricted maximum of 1.71%.
For the June 30, 2024 Actuarial Valuation, future COLAs were assumed to equal the restricted maximum
COLA assumption of 1.71%.</t>
  </si>
  <si>
    <t>As of June 30, 2025, the FVFR, assuming future COLAs equal to the baseline COLA assumption of 2.25% is
again less than 100% and the July 2026 SDRS COLA is limited to a restricted maximum of 1.56%. The July
2026 SDRS COLA will equal inflation, no less than 0% and no greater than 1.56%. For this June 30, 2025
Actuarial Valuation, future COLAs were assumed to equal the restricted maximum COLA of 1.56%.</t>
  </si>
  <si>
    <t xml:space="preserve">administering and amending plan provisions are found in SDCL 3-12C.  The SDRS </t>
  </si>
  <si>
    <t>ended December 31, 2025, 2024 and 2023, equal to required contributions each year, were as follows:</t>
  </si>
  <si>
    <t xml:space="preserve">At June 30, 2025, SDRS is 100.1% funded and accordingly has a net pension asset.  The </t>
  </si>
  <si>
    <t>System, for the County/Municipality as of the measurement period ending June 30, 2025 and reported</t>
  </si>
  <si>
    <t xml:space="preserve">At December 31, 2025, the County/Municipality reported a liability (asset) of </t>
  </si>
  <si>
    <t>as of June 30 ,2025 and the total pension liability (asset) used to calculate the net pension liability</t>
  </si>
  <si>
    <t>pension plan relative to the contributions of all participating entities.  At June 30, 2025 the</t>
  </si>
  <si>
    <t>from its proportion measured as of June 30, 2024.</t>
  </si>
  <si>
    <t>For the year ended December 31, 2025, the County/Municipality recognized pension expense (reduction of pension</t>
  </si>
  <si>
    <t>At December 31, 2025 the County/Municipality reported deferred outflows or resources</t>
  </si>
  <si>
    <t>net pension liability in the year ending December 31, 2026.  Other amounts reported as deferred</t>
  </si>
  <si>
    <t xml:space="preserve">The total pension liability (asset) in the June 30, 2025 actuarial valuation was determined using the </t>
  </si>
  <si>
    <t xml:space="preserve">  1.56%</t>
  </si>
  <si>
    <t xml:space="preserve">The actuarial assumptions used in the June 30, 2025 valuation were based on the results of an </t>
  </si>
  <si>
    <t>allocation as of June 30, 2025 (see the discussion of the pension plan's investment policy) are</t>
  </si>
  <si>
    <t>by the County/Municipality as of December 31, 2025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</si>
</sst>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 numFmtId="169" formatCode="0.00000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
      <sz val="11"/>
      <color theme="4" tint="-0.249977111117893"/>
      <name val="Arial"/>
      <family val="2"/>
    </font>
    <font>
      <sz val="12"/>
      <color theme="4"/>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22">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5" fillId="0" borderId="0"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xf numFmtId="14" fontId="29" fillId="0" borderId="0" xfId="0" applyNumberFormat="1" applyFont="1" applyFill="1" applyBorder="1"/>
    <xf numFmtId="43" fontId="66" fillId="0" borderId="0" xfId="1" applyNumberFormat="1" applyFont="1" applyFill="1" applyBorder="1"/>
    <xf numFmtId="0" fontId="66" fillId="0" borderId="0" xfId="0" applyFont="1" applyFill="1" applyBorder="1"/>
    <xf numFmtId="44" fontId="55" fillId="0" borderId="11" xfId="2" applyFont="1" applyFill="1" applyBorder="1"/>
    <xf numFmtId="44" fontId="38" fillId="0" borderId="0" xfId="2" applyFont="1"/>
    <xf numFmtId="169" fontId="7" fillId="0" borderId="0" xfId="0" applyNumberFormat="1" applyFont="1" applyAlignment="1">
      <alignment horizontal="center"/>
    </xf>
    <xf numFmtId="44" fontId="67" fillId="0" borderId="0" xfId="0" applyNumberFormat="1" applyFont="1" applyFill="1"/>
    <xf numFmtId="0" fontId="31" fillId="0" borderId="0" xfId="0" applyFont="1" applyFill="1" applyBorder="1" applyAlignment="1">
      <alignment horizontal="center"/>
    </xf>
    <xf numFmtId="0" fontId="31" fillId="0" borderId="7" xfId="0" applyFont="1" applyFill="1" applyBorder="1" applyAlignment="1">
      <alignment horizontal="center"/>
    </xf>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36" fillId="0" borderId="9" xfId="0" applyFont="1" applyBorder="1" applyAlignment="1">
      <alignment horizontal="right"/>
    </xf>
    <xf numFmtId="0" fontId="5" fillId="0" borderId="0" xfId="0" applyFont="1"/>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B1" activePane="topRight" state="frozen"/>
      <selection pane="topRight" activeCell="B12" sqref="B12"/>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772</v>
      </c>
    </row>
    <row r="2" spans="1:18" x14ac:dyDescent="0.25">
      <c r="A2" s="235" t="s">
        <v>773</v>
      </c>
    </row>
    <row r="3" spans="1:18" ht="14.4" thickBot="1" x14ac:dyDescent="0.3">
      <c r="A3" s="236"/>
    </row>
    <row r="4" spans="1:18" ht="10.5" customHeight="1" x14ac:dyDescent="0.25"/>
    <row r="5" spans="1:18" s="95" customFormat="1" ht="21.6" thickBot="1" x14ac:dyDescent="0.45">
      <c r="A5" s="259" t="s">
        <v>771</v>
      </c>
      <c r="B5" s="340"/>
      <c r="C5" s="340"/>
      <c r="D5" s="340"/>
      <c r="E5" s="340"/>
      <c r="F5" s="340"/>
      <c r="G5" s="340"/>
      <c r="H5" s="340"/>
      <c r="I5" s="340"/>
      <c r="J5" s="340"/>
      <c r="K5" s="340"/>
      <c r="L5" s="340"/>
      <c r="M5" s="340"/>
      <c r="N5" s="340"/>
      <c r="O5" s="340"/>
      <c r="P5" s="340"/>
    </row>
    <row r="6" spans="1:18" x14ac:dyDescent="0.25">
      <c r="A6" s="278" t="s">
        <v>786</v>
      </c>
      <c r="B6" s="250"/>
      <c r="C6" s="250"/>
      <c r="D6" s="250"/>
      <c r="E6" s="250"/>
      <c r="F6" s="250"/>
      <c r="G6" s="250"/>
      <c r="H6" s="250"/>
      <c r="I6" s="250"/>
      <c r="J6" s="250"/>
      <c r="K6" s="250"/>
      <c r="L6" s="250"/>
      <c r="M6" s="250"/>
      <c r="N6" s="250"/>
      <c r="O6" s="250"/>
      <c r="P6" s="250"/>
      <c r="Q6" s="250"/>
      <c r="R6" s="253"/>
    </row>
    <row r="7" spans="1:18" x14ac:dyDescent="0.25">
      <c r="A7" s="257"/>
      <c r="B7" s="255" t="s">
        <v>200</v>
      </c>
      <c r="C7" s="237"/>
      <c r="D7" s="237"/>
      <c r="E7" s="237"/>
      <c r="F7" s="237"/>
      <c r="G7" s="237"/>
      <c r="H7" s="237"/>
      <c r="I7" s="237"/>
      <c r="J7" s="237"/>
      <c r="K7" s="237"/>
      <c r="L7" s="237"/>
      <c r="M7" s="237"/>
      <c r="N7" s="237"/>
      <c r="O7" s="237"/>
      <c r="P7" s="237"/>
      <c r="Q7" s="237"/>
      <c r="R7" s="256"/>
    </row>
    <row r="8" spans="1:18" ht="21" x14ac:dyDescent="0.4">
      <c r="A8" s="254"/>
      <c r="B8" s="255" t="s">
        <v>782</v>
      </c>
      <c r="C8" s="237"/>
      <c r="D8" s="372" t="s">
        <v>121</v>
      </c>
      <c r="E8" s="372"/>
      <c r="F8" s="372"/>
      <c r="G8" s="372"/>
      <c r="H8" s="372"/>
      <c r="I8" s="372"/>
      <c r="J8" s="372"/>
      <c r="K8" s="372"/>
      <c r="L8" s="372"/>
      <c r="M8" s="372"/>
      <c r="N8" s="372"/>
      <c r="O8" s="372"/>
      <c r="P8" s="372"/>
      <c r="Q8" s="372"/>
      <c r="R8" s="373"/>
    </row>
    <row r="9" spans="1:18" x14ac:dyDescent="0.25">
      <c r="A9" s="257" t="s">
        <v>201</v>
      </c>
      <c r="B9" s="344" t="s">
        <v>118</v>
      </c>
      <c r="C9" s="344" t="s">
        <v>153</v>
      </c>
      <c r="D9" s="344"/>
      <c r="E9" s="344"/>
      <c r="F9" s="344"/>
      <c r="G9" s="344"/>
      <c r="H9" s="344"/>
      <c r="I9" s="344"/>
      <c r="J9" s="344"/>
      <c r="K9" s="237"/>
      <c r="L9" s="237"/>
      <c r="M9" s="237"/>
      <c r="N9" s="237"/>
      <c r="O9" s="237"/>
      <c r="P9" s="237"/>
      <c r="Q9" s="237"/>
      <c r="R9" s="256"/>
    </row>
    <row r="10" spans="1:18" x14ac:dyDescent="0.25">
      <c r="A10" s="258" t="s">
        <v>202</v>
      </c>
      <c r="B10" s="344" t="s">
        <v>783</v>
      </c>
      <c r="C10" s="344" t="s">
        <v>154</v>
      </c>
      <c r="D10" s="259">
        <v>2015</v>
      </c>
      <c r="E10" s="259">
        <v>2016</v>
      </c>
      <c r="F10" s="259">
        <v>2017</v>
      </c>
      <c r="G10" s="259">
        <v>2018</v>
      </c>
      <c r="H10" s="259">
        <v>2019</v>
      </c>
      <c r="I10" s="259">
        <v>2020</v>
      </c>
      <c r="J10" s="259">
        <v>2021</v>
      </c>
      <c r="K10" s="259">
        <v>2022</v>
      </c>
      <c r="L10" s="259">
        <v>2023</v>
      </c>
      <c r="M10" s="259">
        <v>2024</v>
      </c>
      <c r="N10" s="259">
        <v>2025</v>
      </c>
      <c r="O10" s="259">
        <v>2026</v>
      </c>
      <c r="P10" s="259">
        <v>2027</v>
      </c>
      <c r="Q10" s="259">
        <v>2028</v>
      </c>
      <c r="R10" s="349">
        <v>2029</v>
      </c>
    </row>
    <row r="11" spans="1:18" x14ac:dyDescent="0.25">
      <c r="A11" s="260">
        <v>42185</v>
      </c>
      <c r="B11" s="276">
        <v>1062.45</v>
      </c>
      <c r="C11" s="275">
        <v>4.4400000000000004</v>
      </c>
      <c r="D11" s="366">
        <f>IF($C11&gt;0,ROUND($B11/$C11,0),0)</f>
        <v>239</v>
      </c>
      <c r="E11" s="366">
        <f>IF($C$11&gt;2,ROUND($B$11/$C$11,0),$B$11-SUM(D11:D11))</f>
        <v>239</v>
      </c>
      <c r="F11" s="366">
        <f>IF($C11&gt;3,ROUND($B11/$C11,0),$B11-SUM(D11:E11))</f>
        <v>239</v>
      </c>
      <c r="G11" s="366">
        <f>IF($C11&gt;4,ROUND($B11/$C11,0),$B11-SUM(D11:F11))</f>
        <v>239</v>
      </c>
      <c r="H11" s="366">
        <f>IF($C11&gt;5,ROUND($B11/$C11,0),$B11-SUM(D11:G11))</f>
        <v>106.45000000000005</v>
      </c>
      <c r="I11" s="366">
        <f>IF($C11&gt;6,ROUND($B11/$C11,0),$B11-SUM(D11:H11))</f>
        <v>0</v>
      </c>
      <c r="J11" s="367"/>
      <c r="K11" s="237"/>
      <c r="L11" s="237"/>
      <c r="M11" s="237"/>
      <c r="N11" s="237"/>
      <c r="O11" s="237"/>
      <c r="P11" s="237"/>
      <c r="Q11" s="237"/>
      <c r="R11" s="256"/>
    </row>
    <row r="12" spans="1:18" x14ac:dyDescent="0.25">
      <c r="A12" s="260">
        <v>42551</v>
      </c>
      <c r="B12" s="276">
        <v>-1014.46</v>
      </c>
      <c r="C12" s="275">
        <v>4.38</v>
      </c>
      <c r="D12" s="367"/>
      <c r="E12" s="366">
        <f>IF($C12&gt;2,ROUND($B12/$C12,2),$B12-SUM(C12:D12))</f>
        <v>-231.61</v>
      </c>
      <c r="F12" s="366">
        <f>IF($C12&gt;2,ROUND($B12/$C12,2),$B12-SUM(D12:E12))</f>
        <v>-231.61</v>
      </c>
      <c r="G12" s="366">
        <f>IF($C12&gt;3,ROUND($B12/$C12,2),$B12-SUM(D12:F12))</f>
        <v>-231.61</v>
      </c>
      <c r="H12" s="366">
        <f>IF($C12&gt;4,ROUND($B12/$C12,2),$B12-SUM(D12:G12))</f>
        <v>-231.61</v>
      </c>
      <c r="I12" s="366">
        <f>IF($C12&gt;5,ROUND($B12/$C12,2),$B12-SUM(E12:H12))</f>
        <v>-88.019999999999982</v>
      </c>
      <c r="J12" s="366">
        <f>IF($C12&gt;6,ROUND($B12/$C12,0),$B12-SUM(E12:I12))</f>
        <v>0</v>
      </c>
      <c r="K12" s="237"/>
      <c r="L12" s="237"/>
      <c r="M12" s="237"/>
      <c r="N12" s="237"/>
      <c r="O12" s="237"/>
      <c r="P12" s="237"/>
      <c r="Q12" s="237"/>
      <c r="R12" s="256"/>
    </row>
    <row r="13" spans="1:18" x14ac:dyDescent="0.25">
      <c r="A13" s="260">
        <v>42916</v>
      </c>
      <c r="B13" s="289">
        <v>12053.06</v>
      </c>
      <c r="C13" s="275">
        <v>4.46</v>
      </c>
      <c r="D13" s="237"/>
      <c r="E13" s="262"/>
      <c r="F13" s="262">
        <f>IF($C13&gt;2,ROUND($B13/$C13,2),$B13-SUM(D13:E13))</f>
        <v>2702.48</v>
      </c>
      <c r="G13" s="262">
        <f>IF($C13&gt;2,ROUND($B13/$C13,2),$B13-SUM(D13:F13))</f>
        <v>2702.48</v>
      </c>
      <c r="H13" s="262">
        <f>IF($C13&gt;3,ROUND($B13/$C13,2),$B13-SUM(D13:G13))</f>
        <v>2702.48</v>
      </c>
      <c r="I13" s="262">
        <f>IF($C13&gt;4,ROUND($B13/$C13,2),$B13-SUM(E13:H13))</f>
        <v>2702.48</v>
      </c>
      <c r="J13" s="262">
        <f>IF($C13&gt;5,ROUND($B13/$C13,2),$B13-SUM(F13:I13))</f>
        <v>1243.1399999999994</v>
      </c>
      <c r="K13" s="237"/>
      <c r="L13" s="237"/>
      <c r="M13" s="237"/>
      <c r="N13" s="237"/>
      <c r="O13" s="237"/>
      <c r="P13" s="237"/>
      <c r="Q13" s="237"/>
      <c r="R13" s="256"/>
    </row>
    <row r="14" spans="1:18" x14ac:dyDescent="0.25">
      <c r="A14" s="260">
        <v>43281</v>
      </c>
      <c r="B14" s="289">
        <v>-5403.11</v>
      </c>
      <c r="C14" s="275">
        <v>4.3099999999999996</v>
      </c>
      <c r="D14" s="237"/>
      <c r="E14" s="264"/>
      <c r="F14" s="264"/>
      <c r="G14" s="262">
        <f>IF($C14&gt;2,ROUND($B14/$C14,2),$B14-SUM(E14:F14))</f>
        <v>-1253.6199999999999</v>
      </c>
      <c r="H14" s="262">
        <f>IF($C14&gt;2,ROUND($B14/$C14,2),$B14-SUM(E14:G14))</f>
        <v>-1253.6199999999999</v>
      </c>
      <c r="I14" s="262">
        <f>IF($C14&gt;3,ROUND($B14/$C14,2),$B14-SUM(E14:H14))</f>
        <v>-1253.6199999999999</v>
      </c>
      <c r="J14" s="262">
        <f>IF($C14&gt;4,ROUND($B14/$C14,2),$B14-SUM(F14:I14))</f>
        <v>-1253.6199999999999</v>
      </c>
      <c r="K14" s="262">
        <f>IF($C14&gt;5,ROUND($B14/$C14,2),$B14-SUM(G14:J14))</f>
        <v>-388.63000000000011</v>
      </c>
      <c r="L14" s="262"/>
      <c r="M14" s="262"/>
      <c r="N14" s="262"/>
      <c r="O14" s="237"/>
      <c r="P14" s="237"/>
      <c r="Q14" s="237"/>
      <c r="R14" s="256"/>
    </row>
    <row r="15" spans="1:18" x14ac:dyDescent="0.25">
      <c r="A15" s="260">
        <v>43646</v>
      </c>
      <c r="B15" s="289">
        <v>12231.98</v>
      </c>
      <c r="C15" s="275">
        <v>4.4400000000000004</v>
      </c>
      <c r="D15" s="237"/>
      <c r="E15" s="264"/>
      <c r="F15" s="264"/>
      <c r="G15" s="264"/>
      <c r="H15" s="262">
        <f>IF($C15&gt;2,ROUND($B15/$C15,2),$B15-SUM(F15:G15))</f>
        <v>2754.95</v>
      </c>
      <c r="I15" s="262">
        <f>IF($C15&gt;2,ROUND($B15/$C15,2),$B15-SUM(F15:H15))</f>
        <v>2754.95</v>
      </c>
      <c r="J15" s="262">
        <f>IF($C15&gt;3,ROUND($B15/$C15,2),$B15-SUM(F15:I15))</f>
        <v>2754.95</v>
      </c>
      <c r="K15" s="262">
        <f>IF($C15&gt;4,ROUND($B15/$C15,2),$B15-SUM(G15:J15))</f>
        <v>2754.95</v>
      </c>
      <c r="L15" s="262">
        <f>IF($C15&gt;5,ROUND($B15/$C15,2),$B15-SUM(H15:K15))</f>
        <v>1212.1800000000003</v>
      </c>
      <c r="M15" s="262"/>
      <c r="N15" s="262"/>
      <c r="O15" s="237"/>
      <c r="P15" s="237"/>
      <c r="Q15" s="237"/>
      <c r="R15" s="256"/>
    </row>
    <row r="16" spans="1:18" x14ac:dyDescent="0.25">
      <c r="A16" s="260">
        <v>44012</v>
      </c>
      <c r="B16" s="289">
        <v>-4887.07</v>
      </c>
      <c r="C16" s="275">
        <v>4.34</v>
      </c>
      <c r="D16" s="237"/>
      <c r="E16" s="264"/>
      <c r="F16" s="264"/>
      <c r="G16" s="264"/>
      <c r="H16" s="264"/>
      <c r="I16" s="262">
        <f>IF($C16&gt;2,ROUND($B16/$C16,2),$B16-SUM(G16:H16))</f>
        <v>-1126.05</v>
      </c>
      <c r="J16" s="262">
        <f>IF($C16&gt;2,ROUND($B16/$C16,2),$B16-SUM(G16:I16))</f>
        <v>-1126.05</v>
      </c>
      <c r="K16" s="262">
        <f>IF($C16&gt;3,ROUND($B16/$C16,2),$B16-SUM(G16:J16))</f>
        <v>-1126.05</v>
      </c>
      <c r="L16" s="262">
        <f>IF($C16&gt;4,ROUND($B16/$C16,2),$B16-SUM(H16:K16))</f>
        <v>-1126.05</v>
      </c>
      <c r="M16" s="262">
        <f>IF($C16&gt;5,ROUND($B16/$C16,2),$B16-SUM(I16:L16))</f>
        <v>-382.86999999999989</v>
      </c>
      <c r="N16" s="262"/>
      <c r="O16" s="237"/>
      <c r="P16" s="237"/>
      <c r="Q16" s="237"/>
      <c r="R16" s="256"/>
    </row>
    <row r="17" spans="1:19" x14ac:dyDescent="0.25">
      <c r="A17" s="260">
        <v>44377</v>
      </c>
      <c r="B17" s="289">
        <v>62.75</v>
      </c>
      <c r="C17" s="275">
        <v>4.25</v>
      </c>
      <c r="D17" s="237"/>
      <c r="E17" s="264"/>
      <c r="F17" s="264"/>
      <c r="G17" s="264"/>
      <c r="H17" s="264"/>
      <c r="I17" s="264"/>
      <c r="J17" s="262">
        <f>IF($C17&gt;2,ROUND($B17/$C17,2),$B17-SUM(G17:I17))</f>
        <v>14.76</v>
      </c>
      <c r="K17" s="262">
        <f>IF($C17&gt;2,ROUND($B17/$C17,2),$B17-SUM(G17:J17))</f>
        <v>14.76</v>
      </c>
      <c r="L17" s="262">
        <f>IF($C17&gt;3,ROUND($B17/$C17,2),$B17-SUM(G17:K17))</f>
        <v>14.76</v>
      </c>
      <c r="M17" s="262">
        <f>IF($C17&gt;4,ROUND($B17/$C17,2),$B17-SUM(G17:L17))</f>
        <v>14.76</v>
      </c>
      <c r="N17" s="262">
        <f>IF($C17&gt;5,ROUND($B17/$C17,2),$B17-SUM(G17:M17))</f>
        <v>3.7100000000000009</v>
      </c>
      <c r="O17" s="237"/>
      <c r="P17" s="237"/>
      <c r="Q17" s="237"/>
      <c r="R17" s="256"/>
    </row>
    <row r="18" spans="1:19" x14ac:dyDescent="0.25">
      <c r="A18" s="260">
        <v>44742</v>
      </c>
      <c r="B18" s="289">
        <v>-4325.54</v>
      </c>
      <c r="C18" s="275">
        <v>4.3899999999999997</v>
      </c>
      <c r="D18" s="237"/>
      <c r="E18" s="264"/>
      <c r="F18" s="264"/>
      <c r="G18" s="264"/>
      <c r="H18" s="264"/>
      <c r="I18" s="264"/>
      <c r="J18" s="264"/>
      <c r="K18" s="262">
        <f>IF($C18&gt;2,ROUND($B18/$C18,2),$B18-SUM(H18:J18))</f>
        <v>-985.32</v>
      </c>
      <c r="L18" s="262">
        <f>IF($C18&gt;2,ROUND($B18/$C18,2),$B18-SUM(H18:K18))</f>
        <v>-985.32</v>
      </c>
      <c r="M18" s="262">
        <f>IF($C18&gt;3,ROUND($B18/$C18,2),$B18-SUM(H18:L18))</f>
        <v>-985.32</v>
      </c>
      <c r="N18" s="262">
        <f>IF($C18&gt;4,ROUND($B18/$C18,2),$B18-SUM(H18:M18))</f>
        <v>-985.32</v>
      </c>
      <c r="O18" s="262">
        <f>IF($C18&gt;5,ROUND($B18/$C18,2),$B18-SUM(H18:N18))</f>
        <v>-384.25999999999976</v>
      </c>
      <c r="P18" s="237"/>
      <c r="Q18" s="237"/>
      <c r="R18" s="256"/>
    </row>
    <row r="19" spans="1:19" x14ac:dyDescent="0.25">
      <c r="A19" s="260">
        <v>45107</v>
      </c>
      <c r="B19" s="289">
        <v>5845.31</v>
      </c>
      <c r="C19" s="275">
        <v>4.33</v>
      </c>
      <c r="D19" s="237"/>
      <c r="E19" s="264"/>
      <c r="F19" s="264"/>
      <c r="G19" s="264"/>
      <c r="H19" s="264"/>
      <c r="I19" s="264"/>
      <c r="J19" s="264"/>
      <c r="K19" s="262"/>
      <c r="L19" s="262">
        <f>IF($C19&gt;2,ROUND($B19/$C19,2),$B19-SUM(I19:K19))</f>
        <v>1349.96</v>
      </c>
      <c r="M19" s="262">
        <f>IF($C19&gt;2,ROUND($B19/$C19,2),$B19-SUM(I19:L19))</f>
        <v>1349.96</v>
      </c>
      <c r="N19" s="262">
        <f>IF($C19&gt;3,ROUND($B19/$C19,2),$B19-SUM(I19:M19))</f>
        <v>1349.96</v>
      </c>
      <c r="O19" s="262">
        <f>IF($C19&gt;4,ROUND($B19/$C19,2),$B19-SUM(I19:N19))</f>
        <v>1349.96</v>
      </c>
      <c r="P19" s="262">
        <f>IF($C19&gt;5,ROUND($B19/$C19,2),$B19-SUM(I19:O19))</f>
        <v>445.47000000000025</v>
      </c>
      <c r="Q19" s="237"/>
      <c r="R19" s="256"/>
    </row>
    <row r="20" spans="1:19" s="237" customFormat="1" x14ac:dyDescent="0.25">
      <c r="A20" s="365">
        <v>45473</v>
      </c>
      <c r="B20" s="289">
        <v>12328.15</v>
      </c>
      <c r="C20" s="275">
        <v>4.28</v>
      </c>
      <c r="E20" s="264"/>
      <c r="F20" s="264"/>
      <c r="G20" s="264"/>
      <c r="H20" s="264"/>
      <c r="I20" s="264"/>
      <c r="J20" s="264"/>
      <c r="K20" s="262"/>
      <c r="L20" s="262"/>
      <c r="M20" s="262">
        <f>IF($C20&gt;2,ROUND($B20/$C20,2),$B20-SUM(J20:L20))</f>
        <v>2880.41</v>
      </c>
      <c r="N20" s="262">
        <f>IF($C20&gt;2,ROUND($B20/$C20,2),$B20-SUM(J20:M20))</f>
        <v>2880.41</v>
      </c>
      <c r="O20" s="262">
        <f>IF($C20&gt;3,ROUND($B20/$C20,2),$B20-SUM(J20:N20))</f>
        <v>2880.41</v>
      </c>
      <c r="P20" s="262">
        <f>IF($C20&gt;4,ROUND($B20/$C20,2),$B20-SUM(J20:O20))</f>
        <v>2880.41</v>
      </c>
      <c r="Q20" s="262">
        <f>IF($C20&gt;5,ROUND($B20/$C20,2),$B20-SUM(J20:P20))</f>
        <v>806.51000000000022</v>
      </c>
      <c r="R20" s="256"/>
    </row>
    <row r="21" spans="1:19" ht="14.4" thickBot="1" x14ac:dyDescent="0.3">
      <c r="A21" s="270">
        <v>45838</v>
      </c>
      <c r="B21" s="328">
        <f>Calculations!J97+Calculations!J98</f>
        <v>2068.3726486799787</v>
      </c>
      <c r="C21" s="277">
        <v>4.29</v>
      </c>
      <c r="D21" s="271"/>
      <c r="E21" s="273"/>
      <c r="F21" s="273"/>
      <c r="G21" s="273"/>
      <c r="H21" s="273"/>
      <c r="I21" s="273"/>
      <c r="J21" s="273"/>
      <c r="K21" s="329"/>
      <c r="L21" s="329"/>
      <c r="M21" s="329"/>
      <c r="N21" s="329">
        <f>IF($C21&gt;2,ROUND($B21/$C21,2),$B21-SUM(K21:M21))</f>
        <v>482.14</v>
      </c>
      <c r="O21" s="329">
        <f>IF($C21&gt;2,ROUND($B21/$C21,2),$B21-SUM(K21:N21))</f>
        <v>482.14</v>
      </c>
      <c r="P21" s="329">
        <f>IF($C21&gt;3,ROUND($B21/$C21,2),$B21-SUM(K21:O21))</f>
        <v>482.14</v>
      </c>
      <c r="Q21" s="329">
        <f>IF($C21&gt;4,ROUND($B21/$C21,2),$B21-SUM(K21:P21))</f>
        <v>482.14</v>
      </c>
      <c r="R21" s="350">
        <f>IF($C21&gt;5,ROUND($B21/$C21,2),$B21-SUM(K21:Q21))</f>
        <v>139.81264867997879</v>
      </c>
      <c r="S21" s="237"/>
    </row>
    <row r="22" spans="1:19" ht="14.4" thickBot="1" x14ac:dyDescent="0.3">
      <c r="A22" s="106"/>
      <c r="B22" s="97"/>
      <c r="D22" s="100"/>
      <c r="E22" s="239"/>
      <c r="F22" s="239"/>
      <c r="G22" s="239"/>
      <c r="H22" s="239"/>
      <c r="I22" s="239"/>
      <c r="J22" s="239"/>
      <c r="Q22" s="237"/>
      <c r="R22" s="237"/>
    </row>
    <row r="23" spans="1:19" x14ac:dyDescent="0.25">
      <c r="A23" s="248" t="s">
        <v>787</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72" t="s">
        <v>121</v>
      </c>
      <c r="E24" s="372"/>
      <c r="F24" s="372"/>
      <c r="G24" s="372"/>
      <c r="H24" s="372"/>
      <c r="I24" s="372"/>
      <c r="J24" s="372"/>
      <c r="K24" s="372"/>
      <c r="L24" s="372"/>
      <c r="M24" s="372"/>
      <c r="N24" s="372"/>
      <c r="O24" s="372"/>
      <c r="P24" s="372"/>
      <c r="Q24" s="237"/>
      <c r="R24" s="256"/>
    </row>
    <row r="25" spans="1:19" x14ac:dyDescent="0.25">
      <c r="A25" s="257" t="s">
        <v>201</v>
      </c>
      <c r="B25" s="344" t="s">
        <v>118</v>
      </c>
      <c r="C25" s="344" t="s">
        <v>153</v>
      </c>
      <c r="D25" s="344"/>
      <c r="E25" s="344"/>
      <c r="F25" s="344"/>
      <c r="G25" s="344"/>
      <c r="H25" s="344"/>
      <c r="I25" s="344"/>
      <c r="J25" s="344"/>
      <c r="K25" s="237"/>
      <c r="L25" s="237"/>
      <c r="M25" s="237"/>
      <c r="N25" s="237"/>
      <c r="O25" s="237"/>
      <c r="P25" s="237"/>
      <c r="Q25" s="237"/>
      <c r="R25" s="256"/>
    </row>
    <row r="26" spans="1:19" x14ac:dyDescent="0.25">
      <c r="A26" s="258" t="s">
        <v>202</v>
      </c>
      <c r="B26" s="255" t="s">
        <v>784</v>
      </c>
      <c r="C26" s="344" t="s">
        <v>154</v>
      </c>
      <c r="D26" s="259">
        <v>2015</v>
      </c>
      <c r="E26" s="259">
        <v>2016</v>
      </c>
      <c r="F26" s="259">
        <v>2017</v>
      </c>
      <c r="G26" s="259">
        <v>2018</v>
      </c>
      <c r="H26" s="259">
        <v>2019</v>
      </c>
      <c r="I26" s="259">
        <v>2020</v>
      </c>
      <c r="J26" s="259">
        <v>2021</v>
      </c>
      <c r="K26" s="259">
        <v>2022</v>
      </c>
      <c r="L26" s="259">
        <v>2023</v>
      </c>
      <c r="M26" s="259">
        <v>2024</v>
      </c>
      <c r="N26" s="259">
        <v>2025</v>
      </c>
      <c r="O26" s="259">
        <v>2026</v>
      </c>
      <c r="P26" s="259">
        <v>2027</v>
      </c>
      <c r="Q26" s="259">
        <v>2028</v>
      </c>
      <c r="R26" s="349">
        <v>2029</v>
      </c>
    </row>
    <row r="27" spans="1:19" x14ac:dyDescent="0.25">
      <c r="A27" s="260">
        <v>42185</v>
      </c>
      <c r="B27" s="261">
        <f t="shared" ref="B27:B35" si="0">IF(B11&gt;0,B11,0)</f>
        <v>1062.45</v>
      </c>
      <c r="C27" s="262">
        <f t="shared" ref="C27:C35" si="1">C11</f>
        <v>4.4400000000000004</v>
      </c>
      <c r="D27" s="366">
        <f>IF($C27&gt;0,ROUND($B27/$C27,0),0)</f>
        <v>239</v>
      </c>
      <c r="E27" s="366">
        <f>IF($C$11&gt;2,ROUND($B$11/$C$11,0),$B$11-SUM(D27:D27))</f>
        <v>239</v>
      </c>
      <c r="F27" s="366">
        <f>IF($C27&gt;3,ROUND($B27/$C27,0),$B27-SUM(D27:E27))</f>
        <v>239</v>
      </c>
      <c r="G27" s="366">
        <f>IF($C27&gt;4,ROUND($B27/$C27,0),$B27-SUM(D27:F27))</f>
        <v>239</v>
      </c>
      <c r="H27" s="366">
        <f>IF($C27&gt;5,ROUND($B27/$C27,0),$B27-SUM(D27:G27))</f>
        <v>106.45000000000005</v>
      </c>
      <c r="I27" s="366">
        <f>IF($C27&gt;6,ROUND($B27/$C27,0),$B27-SUM(D27:H27))</f>
        <v>0</v>
      </c>
      <c r="J27" s="237"/>
      <c r="K27" s="237"/>
      <c r="L27" s="237"/>
      <c r="M27" s="237"/>
      <c r="N27" s="237"/>
      <c r="O27" s="237"/>
      <c r="P27" s="237"/>
      <c r="Q27" s="237"/>
      <c r="R27" s="256"/>
    </row>
    <row r="28" spans="1:19" x14ac:dyDescent="0.25">
      <c r="A28" s="260">
        <v>42551</v>
      </c>
      <c r="B28" s="261">
        <f t="shared" si="0"/>
        <v>0</v>
      </c>
      <c r="C28" s="262">
        <f t="shared" si="1"/>
        <v>4.38</v>
      </c>
      <c r="D28" s="237"/>
      <c r="E28" s="262">
        <f>IF($C28&gt;2,ROUND($B28/$C28,2),$B28-SUM(C28:D28))</f>
        <v>0</v>
      </c>
      <c r="F28" s="262">
        <f>IF($C28&gt;2,ROUND($B28/$C28,2),$B28-SUM(D28:E28))</f>
        <v>0</v>
      </c>
      <c r="G28" s="262">
        <f>IF($C28&gt;3,ROUND($B28/$C28,2),$B28-SUM(D28:F28))</f>
        <v>0</v>
      </c>
      <c r="H28" s="262">
        <f>IF($C28&gt;4,ROUND($B28/$C28,2),$B28-SUM(D28:G28))</f>
        <v>0</v>
      </c>
      <c r="I28" s="262">
        <f>IF($C28&gt;5,ROUND($B28/$C28,2),$B28-SUM(E28:H28))</f>
        <v>0</v>
      </c>
      <c r="J28" s="262">
        <f>IF($C28&gt;6,ROUND($B28/$C28,0),$B28-SUM(E28:I28))</f>
        <v>0</v>
      </c>
      <c r="K28" s="237"/>
      <c r="L28" s="237"/>
      <c r="M28" s="237"/>
      <c r="N28" s="237"/>
      <c r="O28" s="237"/>
      <c r="P28" s="237"/>
      <c r="Q28" s="237"/>
      <c r="R28" s="256"/>
    </row>
    <row r="29" spans="1:19" x14ac:dyDescent="0.25">
      <c r="A29" s="260">
        <v>42916</v>
      </c>
      <c r="B29" s="261">
        <f t="shared" si="0"/>
        <v>12053.06</v>
      </c>
      <c r="C29" s="262">
        <f t="shared" si="1"/>
        <v>4.46</v>
      </c>
      <c r="D29" s="237"/>
      <c r="E29" s="262"/>
      <c r="F29" s="262">
        <f>IF($C29&gt;2,ROUND($B29/$C29,2),$B29-SUM(D29:E29))</f>
        <v>2702.48</v>
      </c>
      <c r="G29" s="262">
        <f>IF($C29&gt;2,ROUND($B29/$C29,2),$B29-SUM(D29:F29))</f>
        <v>2702.48</v>
      </c>
      <c r="H29" s="262">
        <f>IF($C29&gt;3,ROUND($B29/$C29,2),$B29-SUM(D29:G29))</f>
        <v>2702.48</v>
      </c>
      <c r="I29" s="262">
        <f>IF($C29&gt;4,ROUND($B29/$C29,2),$B29-SUM(E29:H29))</f>
        <v>2702.48</v>
      </c>
      <c r="J29" s="262">
        <f>IF($C29&gt;5,ROUND($B29/$C29,2),$B29-SUM(F29:I29))</f>
        <v>1243.1399999999994</v>
      </c>
      <c r="K29" s="237"/>
      <c r="L29" s="237"/>
      <c r="M29" s="237"/>
      <c r="N29" s="237"/>
      <c r="O29" s="237"/>
      <c r="P29" s="237"/>
      <c r="Q29" s="237"/>
      <c r="R29" s="256"/>
    </row>
    <row r="30" spans="1:19" x14ac:dyDescent="0.25">
      <c r="A30" s="260">
        <v>43281</v>
      </c>
      <c r="B30" s="261">
        <f t="shared" si="0"/>
        <v>0</v>
      </c>
      <c r="C30" s="262">
        <f t="shared" si="1"/>
        <v>4.3099999999999996</v>
      </c>
      <c r="D30" s="237"/>
      <c r="E30" s="264"/>
      <c r="F30" s="264"/>
      <c r="G30" s="262">
        <f>IF($C30&gt;2,ROUND($B30/$C30,2),$B30-SUM(E30:F30))</f>
        <v>0</v>
      </c>
      <c r="H30" s="262">
        <f>IF($C30&gt;2,ROUND($B30/$C30,2),$B30-SUM(E30:G30))</f>
        <v>0</v>
      </c>
      <c r="I30" s="262">
        <f>IF($C30&gt;3,ROUND($B30/$C30,2),$B30-SUM(E30:H30))</f>
        <v>0</v>
      </c>
      <c r="J30" s="262">
        <f>IF($C30&gt;4,ROUND($B30/$C30,2),$B30-SUM(F30:I30))</f>
        <v>0</v>
      </c>
      <c r="K30" s="262">
        <f>IF($C30&gt;5,ROUND($B30/$C30,2),$B30-SUM(G30:J30))</f>
        <v>0</v>
      </c>
      <c r="L30" s="262"/>
      <c r="M30" s="262"/>
      <c r="N30" s="262"/>
      <c r="O30" s="237"/>
      <c r="P30" s="237"/>
      <c r="Q30" s="237"/>
      <c r="R30" s="256"/>
    </row>
    <row r="31" spans="1:19" x14ac:dyDescent="0.25">
      <c r="A31" s="260">
        <v>43646</v>
      </c>
      <c r="B31" s="261">
        <f t="shared" si="0"/>
        <v>12231.98</v>
      </c>
      <c r="C31" s="262">
        <f t="shared" si="1"/>
        <v>4.4400000000000004</v>
      </c>
      <c r="D31" s="237"/>
      <c r="E31" s="264"/>
      <c r="F31" s="264"/>
      <c r="G31" s="264"/>
      <c r="H31" s="262">
        <f>IF($C31&gt;2,ROUND($B31/$C31,2),$B31-SUM(F31:G31))</f>
        <v>2754.95</v>
      </c>
      <c r="I31" s="262">
        <f>IF($C31&gt;2,ROUND($B31/$C31,2),$B31-SUM(F31:H31))</f>
        <v>2754.95</v>
      </c>
      <c r="J31" s="262">
        <f>IF($C31&gt;3,ROUND($B31/$C31,2),$B31-SUM(F31:I31))</f>
        <v>2754.95</v>
      </c>
      <c r="K31" s="262">
        <f>IF($C31&gt;4,ROUND($B31/$C31,2),$B31-SUM(G31:J31))</f>
        <v>2754.95</v>
      </c>
      <c r="L31" s="262">
        <f>IF($C31&gt;5,ROUND($B31/$C31,2),$B31-SUM(H31:K31))</f>
        <v>1212.1800000000003</v>
      </c>
      <c r="M31" s="262"/>
      <c r="N31" s="262"/>
      <c r="O31" s="237"/>
      <c r="P31" s="237"/>
      <c r="Q31" s="237"/>
      <c r="R31" s="256"/>
    </row>
    <row r="32" spans="1:19" x14ac:dyDescent="0.25">
      <c r="A32" s="260">
        <v>44012</v>
      </c>
      <c r="B32" s="261">
        <f t="shared" si="0"/>
        <v>0</v>
      </c>
      <c r="C32" s="262">
        <f t="shared" si="1"/>
        <v>4.34</v>
      </c>
      <c r="D32" s="237"/>
      <c r="E32" s="264"/>
      <c r="F32" s="264"/>
      <c r="G32" s="264"/>
      <c r="H32" s="264"/>
      <c r="I32" s="262">
        <f>IF($C32&gt;2,ROUND($B32/$C32,2),$B32-SUM(G32:H32))</f>
        <v>0</v>
      </c>
      <c r="J32" s="262">
        <f>IF($C32&gt;2,ROUND($B32/$C32,2),$B32-SUM(G32:I32))</f>
        <v>0</v>
      </c>
      <c r="K32" s="262">
        <f>IF($C32&gt;3,ROUND($B32/$C32,2),$B32-SUM(G32:J32))</f>
        <v>0</v>
      </c>
      <c r="L32" s="262">
        <f>IF($C32&gt;4,ROUND($B32/$C32,2),$B32-SUM(H32:K32))</f>
        <v>0</v>
      </c>
      <c r="M32" s="262">
        <f>IF($C32&gt;5,ROUND($B32/$C32,2),$B32-SUM(I32:L32))</f>
        <v>0</v>
      </c>
      <c r="N32" s="262"/>
      <c r="O32" s="237"/>
      <c r="P32" s="237"/>
      <c r="Q32" s="237"/>
      <c r="R32" s="256"/>
    </row>
    <row r="33" spans="1:19" x14ac:dyDescent="0.25">
      <c r="A33" s="260">
        <v>44377</v>
      </c>
      <c r="B33" s="261">
        <f t="shared" si="0"/>
        <v>62.75</v>
      </c>
      <c r="C33" s="262">
        <f t="shared" si="1"/>
        <v>4.25</v>
      </c>
      <c r="D33" s="237"/>
      <c r="E33" s="264"/>
      <c r="F33" s="264"/>
      <c r="G33" s="264"/>
      <c r="H33" s="264"/>
      <c r="I33" s="264"/>
      <c r="J33" s="262">
        <f>IF($C33&gt;2,ROUND($B33/$C33,2),$B33-SUM(H33:I33))</f>
        <v>14.76</v>
      </c>
      <c r="K33" s="262">
        <f>IF($C33&gt;2,ROUND($B33/$C33,2),$B33-SUM(H33:J33))</f>
        <v>14.76</v>
      </c>
      <c r="L33" s="262">
        <f>IF($C33&gt;3,ROUND($B33/$C33,2),$B33-SUM(H33:K33))</f>
        <v>14.76</v>
      </c>
      <c r="M33" s="262">
        <f>IF($C33&gt;4,ROUND($B33/$C33,2),$B33-SUM(I33:L33))</f>
        <v>14.76</v>
      </c>
      <c r="N33" s="262">
        <f>IF($C33&gt;5,ROUND($B33/$C33,2),$B33-SUM(J33:M33))</f>
        <v>3.7100000000000009</v>
      </c>
      <c r="O33" s="237"/>
      <c r="P33" s="237"/>
      <c r="Q33" s="237"/>
      <c r="R33" s="256"/>
    </row>
    <row r="34" spans="1:19" x14ac:dyDescent="0.25">
      <c r="A34" s="260">
        <v>44742</v>
      </c>
      <c r="B34" s="261">
        <f t="shared" si="0"/>
        <v>0</v>
      </c>
      <c r="C34" s="262">
        <f t="shared" si="1"/>
        <v>4.3899999999999997</v>
      </c>
      <c r="D34" s="237"/>
      <c r="E34" s="264"/>
      <c r="F34" s="264"/>
      <c r="G34" s="264"/>
      <c r="H34" s="264"/>
      <c r="I34" s="264"/>
      <c r="J34" s="264"/>
      <c r="K34" s="262">
        <f>IF($C34&gt;2,ROUND($B34/$C34,2),$B34-SUM(I34:J34))</f>
        <v>0</v>
      </c>
      <c r="L34" s="262">
        <f>IF($C34&gt;2,ROUND($B34/$C34,2),$B34-SUM(I34:K34))</f>
        <v>0</v>
      </c>
      <c r="M34" s="262">
        <f>IF($C34&gt;3,ROUND($B34/$C34,2),$B34-SUM(I34:L34))</f>
        <v>0</v>
      </c>
      <c r="N34" s="262">
        <f>IF($C34&gt;4,ROUND($B34/$C34,2),$B34-SUM(I34:M34))</f>
        <v>0</v>
      </c>
      <c r="O34" s="262">
        <f>IF($C34&gt;5,ROUND($B34/$C34,2),$B34-SUM(I34:N34))</f>
        <v>0</v>
      </c>
      <c r="P34" s="237"/>
      <c r="Q34" s="237"/>
      <c r="R34" s="256"/>
    </row>
    <row r="35" spans="1:19" x14ac:dyDescent="0.25">
      <c r="A35" s="260">
        <v>45107</v>
      </c>
      <c r="B35" s="261">
        <f t="shared" si="0"/>
        <v>5845.31</v>
      </c>
      <c r="C35" s="262">
        <f t="shared" si="1"/>
        <v>4.33</v>
      </c>
      <c r="D35" s="237"/>
      <c r="E35" s="264"/>
      <c r="F35" s="264"/>
      <c r="G35" s="264"/>
      <c r="H35" s="264"/>
      <c r="I35" s="264"/>
      <c r="J35" s="264"/>
      <c r="K35" s="262"/>
      <c r="L35" s="262">
        <f>IF($C35&gt;2,ROUND($B35/$C35,2),$B35-SUM(J35:K35))</f>
        <v>1349.96</v>
      </c>
      <c r="M35" s="262">
        <f>IF($C35&gt;2,ROUND($B35/$C35,2),$B35-SUM(J35:L35))</f>
        <v>1349.96</v>
      </c>
      <c r="N35" s="262">
        <f>IF($C35&gt;3,ROUND($B35/$C35,2),$B35-SUM(J35:M35))</f>
        <v>1349.96</v>
      </c>
      <c r="O35" s="262">
        <f>IF($C35&gt;4,ROUND($B35/$C35,2),$B35-SUM(J35:N35))</f>
        <v>1349.96</v>
      </c>
      <c r="P35" s="262">
        <f>IF($C35&gt;5,ROUND($B35/$C35,2),$B35-SUM(J35:O35))</f>
        <v>445.47000000000025</v>
      </c>
      <c r="Q35" s="237"/>
      <c r="R35" s="256"/>
    </row>
    <row r="36" spans="1:19" x14ac:dyDescent="0.25">
      <c r="A36" s="260">
        <v>45473</v>
      </c>
      <c r="B36" s="261">
        <f t="shared" ref="B36:B37" si="2">IF(B20&gt;0,B20,0)</f>
        <v>12328.15</v>
      </c>
      <c r="C36" s="262">
        <f t="shared" ref="C36:C37" si="3">C20</f>
        <v>4.28</v>
      </c>
      <c r="D36" s="237"/>
      <c r="E36" s="264"/>
      <c r="F36" s="264"/>
      <c r="G36" s="264"/>
      <c r="H36" s="264"/>
      <c r="I36" s="264"/>
      <c r="J36" s="264"/>
      <c r="K36" s="262"/>
      <c r="L36" s="262"/>
      <c r="M36" s="262">
        <f>IF($C36&gt;2,ROUND($B36/$C36,2),$B36-SUM(K36:L36))</f>
        <v>2880.41</v>
      </c>
      <c r="N36" s="262">
        <f>IF($C36&gt;2,ROUND($B36/$C36,2),$B36-SUM(K36:M36))</f>
        <v>2880.41</v>
      </c>
      <c r="O36" s="262">
        <f>IF($C36&gt;3,ROUND($B36/$C36,2),$B36-SUM(K36:N36))</f>
        <v>2880.41</v>
      </c>
      <c r="P36" s="262">
        <f>IF($C36&gt;4,ROUND($B36/$C36,2),$B36-SUM(K36:O36))</f>
        <v>2880.41</v>
      </c>
      <c r="Q36" s="262">
        <f>IF($C36&gt;5,ROUND($B36/$C36,2),$B36-SUM(K36:P36))</f>
        <v>806.51000000000022</v>
      </c>
      <c r="R36" s="256"/>
    </row>
    <row r="37" spans="1:19" x14ac:dyDescent="0.25">
      <c r="A37" s="260">
        <v>45838</v>
      </c>
      <c r="B37" s="261">
        <f t="shared" si="2"/>
        <v>2068.3726486799787</v>
      </c>
      <c r="C37" s="262">
        <f t="shared" si="3"/>
        <v>4.29</v>
      </c>
      <c r="D37" s="237"/>
      <c r="E37" s="264"/>
      <c r="F37" s="264"/>
      <c r="G37" s="264"/>
      <c r="H37" s="264"/>
      <c r="I37" s="264"/>
      <c r="J37" s="264"/>
      <c r="K37" s="262"/>
      <c r="L37" s="262"/>
      <c r="M37" s="262"/>
      <c r="N37" s="262">
        <f>IF($C37&gt;2,ROUND($B37/$C37,2),$B37-SUM(L37:M37))</f>
        <v>482.14</v>
      </c>
      <c r="O37" s="262">
        <f>IF($C37&gt;2,ROUND($B37/$C37,2),$B37-SUM(L37:N37))</f>
        <v>482.14</v>
      </c>
      <c r="P37" s="262">
        <f>IF($C37&gt;3,ROUND($B37/$C37,2),$B37-SUM(L37:O37))</f>
        <v>482.14</v>
      </c>
      <c r="Q37" s="262">
        <f>IF($C37&gt;4,ROUND($B37/$C37,2),$B37-SUM(L37:P37))</f>
        <v>482.14</v>
      </c>
      <c r="R37" s="351">
        <f>IF($C37&gt;5,ROUND($B37/$C37,2),$B37-SUM(L37:Q37))</f>
        <v>139.81264867997879</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119</v>
      </c>
      <c r="B39" s="237"/>
      <c r="C39" s="237"/>
      <c r="D39" s="268">
        <f t="shared" ref="D39" si="4">SUM(D27:D34)</f>
        <v>239</v>
      </c>
      <c r="E39" s="264">
        <f>SUM(E27:E37)</f>
        <v>239</v>
      </c>
      <c r="F39" s="264">
        <f t="shared" ref="F39:Q39" si="5">SUM(F27:F37)</f>
        <v>2941.48</v>
      </c>
      <c r="G39" s="264">
        <f t="shared" si="5"/>
        <v>2941.48</v>
      </c>
      <c r="H39" s="264">
        <f t="shared" si="5"/>
        <v>5563.88</v>
      </c>
      <c r="I39" s="264">
        <f t="shared" si="5"/>
        <v>5457.43</v>
      </c>
      <c r="J39" s="264">
        <f t="shared" si="5"/>
        <v>4012.8499999999995</v>
      </c>
      <c r="K39" s="264">
        <f t="shared" si="5"/>
        <v>2769.71</v>
      </c>
      <c r="L39" s="264">
        <f t="shared" si="5"/>
        <v>2576.9000000000005</v>
      </c>
      <c r="M39" s="264">
        <f t="shared" si="5"/>
        <v>4245.13</v>
      </c>
      <c r="N39" s="264">
        <f t="shared" si="5"/>
        <v>4716.22</v>
      </c>
      <c r="O39" s="264">
        <f t="shared" si="5"/>
        <v>4712.51</v>
      </c>
      <c r="P39" s="264">
        <f>SUM(P27:P37)</f>
        <v>3808.02</v>
      </c>
      <c r="Q39" s="264">
        <f t="shared" si="5"/>
        <v>1288.6500000000001</v>
      </c>
      <c r="R39" s="352">
        <f t="shared" ref="R39" si="6">SUM(R27:R37)</f>
        <v>139.81264867997879</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789</v>
      </c>
      <c r="B41" s="344"/>
      <c r="C41" s="237"/>
      <c r="D41" s="268">
        <f>SUM(E27:J27)</f>
        <v>823.45</v>
      </c>
      <c r="E41" s="264">
        <f>SUM(F27:K28)</f>
        <v>584.45000000000005</v>
      </c>
      <c r="F41" s="264">
        <f>SUM(G27:K29)</f>
        <v>9696.0299999999988</v>
      </c>
      <c r="G41" s="264">
        <f>SUM(H27:L30)</f>
        <v>6754.5499999999993</v>
      </c>
      <c r="H41" s="264">
        <f>SUM(I27:M31)</f>
        <v>13422.650000000001</v>
      </c>
      <c r="I41" s="264">
        <f>SUM(J27:M32)</f>
        <v>7965.2199999999993</v>
      </c>
      <c r="J41" s="264">
        <f>SUM(K27:N33)</f>
        <v>4015.1200000000008</v>
      </c>
      <c r="K41" s="264">
        <f>SUM(L27:O34)</f>
        <v>1245.4100000000003</v>
      </c>
      <c r="L41" s="264">
        <f>SUM(M27:P35)</f>
        <v>4513.8200000000006</v>
      </c>
      <c r="M41" s="264">
        <f>SUM(N27:R36)</f>
        <v>12596.84</v>
      </c>
      <c r="N41" s="264">
        <f>SUM(O27:R37)</f>
        <v>9948.9926486799777</v>
      </c>
      <c r="O41" s="264">
        <f>SUM(P27:S37)</f>
        <v>5236.4826486799793</v>
      </c>
      <c r="P41" s="264">
        <f>SUM(Q27:T37)</f>
        <v>1428.4626486799789</v>
      </c>
      <c r="Q41" s="264">
        <f>SUM(R27:U38)</f>
        <v>139.81264867997879</v>
      </c>
      <c r="R41" s="352">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788</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72" t="s">
        <v>121</v>
      </c>
      <c r="E45" s="372"/>
      <c r="F45" s="372"/>
      <c r="G45" s="372"/>
      <c r="H45" s="372"/>
      <c r="I45" s="372"/>
      <c r="J45" s="372"/>
      <c r="K45" s="372"/>
      <c r="L45" s="372"/>
      <c r="M45" s="372"/>
      <c r="N45" s="372"/>
      <c r="O45" s="372"/>
      <c r="P45" s="372"/>
      <c r="Q45" s="237"/>
      <c r="R45" s="256"/>
    </row>
    <row r="46" spans="1:19" x14ac:dyDescent="0.25">
      <c r="A46" s="257" t="s">
        <v>201</v>
      </c>
      <c r="B46" s="344" t="s">
        <v>118</v>
      </c>
      <c r="C46" s="344" t="s">
        <v>153</v>
      </c>
      <c r="D46" s="344"/>
      <c r="E46" s="344"/>
      <c r="F46" s="344"/>
      <c r="G46" s="344"/>
      <c r="H46" s="344"/>
      <c r="I46" s="344"/>
      <c r="J46" s="344"/>
      <c r="K46" s="237"/>
      <c r="L46" s="237"/>
      <c r="M46" s="237"/>
      <c r="N46" s="237"/>
      <c r="O46" s="237"/>
      <c r="P46" s="237"/>
      <c r="Q46" s="237"/>
      <c r="R46" s="256"/>
    </row>
    <row r="47" spans="1:19" x14ac:dyDescent="0.25">
      <c r="A47" s="258" t="s">
        <v>202</v>
      </c>
      <c r="B47" s="255" t="s">
        <v>785</v>
      </c>
      <c r="C47" s="344" t="s">
        <v>154</v>
      </c>
      <c r="D47" s="259">
        <v>2015</v>
      </c>
      <c r="E47" s="259">
        <v>2016</v>
      </c>
      <c r="F47" s="259">
        <v>2017</v>
      </c>
      <c r="G47" s="259">
        <v>2018</v>
      </c>
      <c r="H47" s="259">
        <v>2019</v>
      </c>
      <c r="I47" s="259">
        <v>2020</v>
      </c>
      <c r="J47" s="259">
        <v>2021</v>
      </c>
      <c r="K47" s="259">
        <v>2022</v>
      </c>
      <c r="L47" s="259">
        <v>2023</v>
      </c>
      <c r="M47" s="259">
        <v>2024</v>
      </c>
      <c r="N47" s="259">
        <v>2025</v>
      </c>
      <c r="O47" s="259">
        <v>2026</v>
      </c>
      <c r="P47" s="259">
        <v>2027</v>
      </c>
      <c r="Q47" s="259">
        <v>2028</v>
      </c>
      <c r="R47" s="349">
        <v>2029</v>
      </c>
    </row>
    <row r="48" spans="1:19" x14ac:dyDescent="0.25">
      <c r="A48" s="260">
        <v>42185</v>
      </c>
      <c r="B48" s="261">
        <f t="shared" ref="B48:B56" si="7">IF(B11&lt;0,B11,0)</f>
        <v>0</v>
      </c>
      <c r="C48" s="262">
        <f t="shared" ref="C48:C56" si="8">C11</f>
        <v>4.4400000000000004</v>
      </c>
      <c r="D48" s="263">
        <f>IF($C48&gt;0,ROUND($B48/$C48,0),0)</f>
        <v>0</v>
      </c>
      <c r="E48" s="263">
        <f>IF($C48&gt;2,ROUND($B48/$C48,0),$B48-SUM(D48))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42551</v>
      </c>
      <c r="B49" s="261">
        <f t="shared" si="7"/>
        <v>-1014.46</v>
      </c>
      <c r="C49" s="262">
        <f t="shared" si="8"/>
        <v>4.38</v>
      </c>
      <c r="D49" s="237"/>
      <c r="E49" s="262">
        <f>IF($C49&gt;2,ROUND($B49/$C49,2),$B49-SUM(C49:D49))</f>
        <v>-231.61</v>
      </c>
      <c r="F49" s="262">
        <f>IF($C49&gt;2,ROUND($B49/$C49,2),$B49-SUM(D49:E49))</f>
        <v>-231.61</v>
      </c>
      <c r="G49" s="262">
        <f>IF($C49&gt;3,ROUND($B49/$C49,2),$B49-SUM(D49:F49))</f>
        <v>-231.61</v>
      </c>
      <c r="H49" s="262">
        <f>IF($C49&gt;4,ROUND($B49/$C49,2),$B49-SUM(D49:G49))</f>
        <v>-231.61</v>
      </c>
      <c r="I49" s="262">
        <f>IF($C49&gt;5,ROUND($B49/$C49,2),$B49-SUM(E49:H49))</f>
        <v>-88.019999999999982</v>
      </c>
      <c r="J49" s="262">
        <f>IF($C49&gt;6,ROUND($B49/$C49,0),$B49-SUM(E49:I49))</f>
        <v>0</v>
      </c>
      <c r="K49" s="237"/>
      <c r="L49" s="237"/>
      <c r="M49" s="237"/>
      <c r="N49" s="237"/>
      <c r="O49" s="237"/>
      <c r="P49" s="237"/>
      <c r="Q49" s="237"/>
      <c r="R49" s="256"/>
    </row>
    <row r="50" spans="1:20" x14ac:dyDescent="0.25">
      <c r="A50" s="260">
        <v>42916</v>
      </c>
      <c r="B50" s="261">
        <f t="shared" si="7"/>
        <v>0</v>
      </c>
      <c r="C50" s="262">
        <f t="shared" si="8"/>
        <v>4.46</v>
      </c>
      <c r="D50" s="237"/>
      <c r="E50" s="262"/>
      <c r="F50" s="262">
        <f>IF($C50&gt;2,ROUND($B50/$C50,2),$B50-SUM(D50:E50))</f>
        <v>0</v>
      </c>
      <c r="G50" s="262">
        <f>IF($C50&gt;2,ROUND($B50/$C50,2),$B50-SUM(D50:F50))</f>
        <v>0</v>
      </c>
      <c r="H50" s="262">
        <f>IF($C50&gt;3,ROUND($B50/$C50,2),$B50-SUM(D50:G50))</f>
        <v>0</v>
      </c>
      <c r="I50" s="262">
        <f>IF($C50&gt;4,ROUND($B50/$C50,2),$B50-SUM(E50:H50))</f>
        <v>0</v>
      </c>
      <c r="J50" s="262">
        <f>IF($C50&gt;5,ROUND($B50/$C50,2),$B50-SUM(F50:I50))</f>
        <v>0</v>
      </c>
      <c r="K50" s="237"/>
      <c r="L50" s="237"/>
      <c r="M50" s="237"/>
      <c r="N50" s="237"/>
      <c r="O50" s="237"/>
      <c r="P50" s="237"/>
      <c r="Q50" s="237"/>
      <c r="R50" s="256"/>
    </row>
    <row r="51" spans="1:20" x14ac:dyDescent="0.25">
      <c r="A51" s="260">
        <v>43281</v>
      </c>
      <c r="B51" s="261">
        <f t="shared" si="7"/>
        <v>-5403.11</v>
      </c>
      <c r="C51" s="262">
        <f t="shared" si="8"/>
        <v>4.3099999999999996</v>
      </c>
      <c r="D51" s="237"/>
      <c r="E51" s="264"/>
      <c r="F51" s="264"/>
      <c r="G51" s="262">
        <f>IF($C51&gt;2,ROUND($B51/$C51,2),$B51-SUM(E51:F51))</f>
        <v>-1253.6199999999999</v>
      </c>
      <c r="H51" s="262">
        <f>IF($C51&gt;2,ROUND($B51/$C51,2),$B51-SUM(E51:G51))</f>
        <v>-1253.6199999999999</v>
      </c>
      <c r="I51" s="262">
        <f>IF($C51&gt;3,ROUND($B51/$C51,2),$B51-SUM(E51:H51))</f>
        <v>-1253.6199999999999</v>
      </c>
      <c r="J51" s="262">
        <f>IF($C51&gt;4,ROUND($B51/$C51,2),$B51-SUM(F51:I51))</f>
        <v>-1253.6199999999999</v>
      </c>
      <c r="K51" s="262">
        <f>IF($C51&gt;5,ROUND($B51/$C51,2),$B51-SUM(G51:J51))</f>
        <v>-388.63000000000011</v>
      </c>
      <c r="L51" s="262"/>
      <c r="M51" s="262"/>
      <c r="N51" s="262"/>
      <c r="O51" s="237"/>
      <c r="P51" s="237"/>
      <c r="Q51" s="237"/>
      <c r="R51" s="256"/>
    </row>
    <row r="52" spans="1:20" x14ac:dyDescent="0.25">
      <c r="A52" s="260">
        <v>43646</v>
      </c>
      <c r="B52" s="261">
        <f t="shared" si="7"/>
        <v>0</v>
      </c>
      <c r="C52" s="262">
        <f t="shared" si="8"/>
        <v>4.4400000000000004</v>
      </c>
      <c r="D52" s="237"/>
      <c r="E52" s="264"/>
      <c r="F52" s="264"/>
      <c r="G52" s="264"/>
      <c r="H52" s="262">
        <f>IF($C52&gt;2,ROUND($B52/$C52,2),$B52-SUM(F52:G52))</f>
        <v>0</v>
      </c>
      <c r="I52" s="262">
        <f>IF($C52&gt;2,ROUND($B52/$C52,2),$B52-SUM(F52:H52))</f>
        <v>0</v>
      </c>
      <c r="J52" s="262">
        <f>IF($C52&gt;3,ROUND($B52/$C52,2),$B52-SUM(F52:I52))</f>
        <v>0</v>
      </c>
      <c r="K52" s="262">
        <f>IF($C52&gt;4,ROUND($B52/$C52,2),$B52-SUM(G52:J52))</f>
        <v>0</v>
      </c>
      <c r="L52" s="262">
        <f>IF($C52&gt;5,ROUND($B52/$C52,2),$B52-SUM(H52:K52))</f>
        <v>0</v>
      </c>
      <c r="M52" s="262"/>
      <c r="N52" s="262"/>
      <c r="O52" s="237"/>
      <c r="P52" s="237"/>
      <c r="Q52" s="237"/>
      <c r="R52" s="256"/>
    </row>
    <row r="53" spans="1:20" x14ac:dyDescent="0.25">
      <c r="A53" s="260">
        <v>44012</v>
      </c>
      <c r="B53" s="261">
        <f t="shared" si="7"/>
        <v>-4887.07</v>
      </c>
      <c r="C53" s="262">
        <f t="shared" si="8"/>
        <v>4.34</v>
      </c>
      <c r="D53" s="237"/>
      <c r="E53" s="264"/>
      <c r="F53" s="264"/>
      <c r="G53" s="264"/>
      <c r="H53" s="264"/>
      <c r="I53" s="262">
        <f>IF($C53&gt;2,ROUND($B53/$C53,2),$B53-SUM(G53:H53))</f>
        <v>-1126.05</v>
      </c>
      <c r="J53" s="262">
        <f>IF($C53&gt;2,ROUND($B53/$C53,2),$B53-SUM(G53:I53))</f>
        <v>-1126.05</v>
      </c>
      <c r="K53" s="262">
        <f>IF($C53&gt;3,ROUND($B53/$C53,2),$B53-SUM(G53:J53))</f>
        <v>-1126.05</v>
      </c>
      <c r="L53" s="262">
        <f>IF($C53&gt;4,ROUND($B53/$C53,2),$B53-SUM(H53:K53))</f>
        <v>-1126.05</v>
      </c>
      <c r="M53" s="262">
        <f>IF($C53&gt;5,ROUND($B53/$C53,2),$B53-SUM(I53:L53))</f>
        <v>-382.86999999999989</v>
      </c>
      <c r="N53" s="262"/>
      <c r="O53" s="237"/>
      <c r="P53" s="237"/>
      <c r="Q53" s="237"/>
      <c r="R53" s="256"/>
    </row>
    <row r="54" spans="1:20" x14ac:dyDescent="0.25">
      <c r="A54" s="260">
        <v>44377</v>
      </c>
      <c r="B54" s="261">
        <f t="shared" si="7"/>
        <v>0</v>
      </c>
      <c r="C54" s="262">
        <f t="shared" si="8"/>
        <v>4.25</v>
      </c>
      <c r="D54" s="237"/>
      <c r="E54" s="264"/>
      <c r="F54" s="264"/>
      <c r="G54" s="264"/>
      <c r="H54" s="264"/>
      <c r="I54" s="264"/>
      <c r="J54" s="262">
        <f>IF($C54&gt;2,ROUND($B54/$C54,2),$B54-SUM(H54:I54))</f>
        <v>0</v>
      </c>
      <c r="K54" s="262">
        <f>IF($C54&gt;2,ROUND($B54/$C54,2),$B54-SUM(H54:J54))</f>
        <v>0</v>
      </c>
      <c r="L54" s="262">
        <f>IF($C54&gt;3,ROUND($B54/$C54,2),$B54-SUM(H54:K54))</f>
        <v>0</v>
      </c>
      <c r="M54" s="262">
        <f>IF($C54&gt;4,ROUND($B54/$C54,2),$B54-SUM(H54:L54))</f>
        <v>0</v>
      </c>
      <c r="N54" s="262">
        <f>IF($C54&gt;5,ROUND($B54/$C54,2),$B54-SUM(H54:M54))</f>
        <v>0</v>
      </c>
      <c r="O54" s="237"/>
      <c r="P54" s="237"/>
      <c r="Q54" s="237"/>
      <c r="R54" s="256"/>
    </row>
    <row r="55" spans="1:20" x14ac:dyDescent="0.25">
      <c r="A55" s="260">
        <v>44742</v>
      </c>
      <c r="B55" s="261">
        <f t="shared" si="7"/>
        <v>-4325.54</v>
      </c>
      <c r="C55" s="262">
        <f t="shared" si="8"/>
        <v>4.3899999999999997</v>
      </c>
      <c r="D55" s="237"/>
      <c r="E55" s="264"/>
      <c r="F55" s="264"/>
      <c r="G55" s="264"/>
      <c r="H55" s="264"/>
      <c r="I55" s="264"/>
      <c r="J55" s="264"/>
      <c r="K55" s="262">
        <f>IF($C55&gt;2,ROUND($B55/$C55,2),$B55-SUM(I55:J55))</f>
        <v>-985.32</v>
      </c>
      <c r="L55" s="262">
        <f>IF($C55&gt;2,ROUND($B55/$C55,2),$B55-SUM(I55:K55))</f>
        <v>-985.32</v>
      </c>
      <c r="M55" s="262">
        <f>IF($C55&gt;3,ROUND($B55/$C55,2),$B55-SUM(I55:L55))</f>
        <v>-985.32</v>
      </c>
      <c r="N55" s="262">
        <f>IF($C55&gt;4,ROUND($B55/$C55,2),$B55-SUM(I55:M55))</f>
        <v>-985.32</v>
      </c>
      <c r="O55" s="262">
        <f>IF($C55&gt;5,ROUND($B55/$C55,2),$B55-SUM(I55:N55))</f>
        <v>-384.25999999999976</v>
      </c>
      <c r="P55" s="237"/>
      <c r="Q55" s="237"/>
      <c r="R55" s="256"/>
    </row>
    <row r="56" spans="1:20" x14ac:dyDescent="0.25">
      <c r="A56" s="260">
        <v>45107</v>
      </c>
      <c r="B56" s="261">
        <f t="shared" si="7"/>
        <v>0</v>
      </c>
      <c r="C56" s="262">
        <f t="shared" si="8"/>
        <v>4.33</v>
      </c>
      <c r="D56" s="237"/>
      <c r="E56" s="264"/>
      <c r="F56" s="264"/>
      <c r="G56" s="264"/>
      <c r="H56" s="264"/>
      <c r="I56" s="264"/>
      <c r="J56" s="264"/>
      <c r="K56" s="262"/>
      <c r="L56" s="262">
        <f>IF($C56&gt;2,ROUND($B56/$C56,2),$B56-SUM(J56:K56))</f>
        <v>0</v>
      </c>
      <c r="M56" s="262">
        <f>IF($C56&gt;2,ROUND($B56/$C56,2),$B56-SUM(J56:L56))</f>
        <v>0</v>
      </c>
      <c r="N56" s="262">
        <f>IF($C56&gt;3,ROUND($B56/$C56,2),$B56-SUM(J56:M56))</f>
        <v>0</v>
      </c>
      <c r="O56" s="262">
        <f>IF($C56&gt;4,ROUND($B56/$C56,2),$B56-SUM(J56:N56))</f>
        <v>0</v>
      </c>
      <c r="P56" s="262">
        <f>IF($C56&gt;5,ROUND($B56/$C56,2),$B56-SUM(J56:O56))</f>
        <v>0</v>
      </c>
      <c r="Q56" s="237"/>
      <c r="R56" s="256"/>
    </row>
    <row r="57" spans="1:20" x14ac:dyDescent="0.25">
      <c r="A57" s="260">
        <v>45473</v>
      </c>
      <c r="B57" s="261">
        <f t="shared" ref="B57:B58" si="9">IF(B20&lt;0,B20,0)</f>
        <v>0</v>
      </c>
      <c r="C57" s="262">
        <f t="shared" ref="C57:C58" si="10">C20</f>
        <v>4.28</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45838</v>
      </c>
      <c r="B58" s="261">
        <f t="shared" si="9"/>
        <v>0</v>
      </c>
      <c r="C58" s="262">
        <f t="shared" si="10"/>
        <v>4.29</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1">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119</v>
      </c>
      <c r="B60" s="237"/>
      <c r="C60" s="237"/>
      <c r="D60" s="268">
        <f t="shared" ref="D60:N60" si="11">SUM(D48:D58)</f>
        <v>0</v>
      </c>
      <c r="E60" s="264">
        <f t="shared" si="11"/>
        <v>-231.61</v>
      </c>
      <c r="F60" s="264">
        <f t="shared" si="11"/>
        <v>-231.61</v>
      </c>
      <c r="G60" s="264">
        <f t="shared" si="11"/>
        <v>-1485.23</v>
      </c>
      <c r="H60" s="264">
        <f t="shared" si="11"/>
        <v>-1485.23</v>
      </c>
      <c r="I60" s="264">
        <f t="shared" si="11"/>
        <v>-2467.6899999999996</v>
      </c>
      <c r="J60" s="264">
        <f t="shared" si="11"/>
        <v>-2379.67</v>
      </c>
      <c r="K60" s="264">
        <f t="shared" si="11"/>
        <v>-2500</v>
      </c>
      <c r="L60" s="264">
        <f t="shared" si="11"/>
        <v>-2111.37</v>
      </c>
      <c r="M60" s="264">
        <f t="shared" si="11"/>
        <v>-1368.19</v>
      </c>
      <c r="N60" s="264">
        <f t="shared" si="11"/>
        <v>-985.32</v>
      </c>
      <c r="O60" s="264">
        <f>SUM(O48:O58)</f>
        <v>-384.25999999999976</v>
      </c>
      <c r="P60" s="264">
        <f>SUM(P48:P58)</f>
        <v>0</v>
      </c>
      <c r="Q60" s="264">
        <f>SUM(Q48:Q58)</f>
        <v>0</v>
      </c>
      <c r="R60" s="352">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790</v>
      </c>
      <c r="B62" s="344"/>
      <c r="C62" s="237"/>
      <c r="D62" s="268">
        <f>SUM(E48:J48)</f>
        <v>0</v>
      </c>
      <c r="E62" s="264">
        <f>SUM(F48:K49)</f>
        <v>-782.85</v>
      </c>
      <c r="F62" s="264">
        <f>SUM(G48:K50)</f>
        <v>-551.24</v>
      </c>
      <c r="G62" s="264">
        <f>SUM(H48:K51)</f>
        <v>-4469.12</v>
      </c>
      <c r="H62" s="264">
        <f>SUM(I48:L52)</f>
        <v>-2983.89</v>
      </c>
      <c r="I62" s="264">
        <f>SUM(J48:M53)</f>
        <v>-5403.27</v>
      </c>
      <c r="J62" s="264">
        <f>SUM(K48:N54)</f>
        <v>-3023.6</v>
      </c>
      <c r="K62" s="264">
        <f>SUM(L48:O55)</f>
        <v>-4849.1399999999994</v>
      </c>
      <c r="L62" s="264">
        <f>SUM(M48:P56)</f>
        <v>-2737.77</v>
      </c>
      <c r="M62" s="264">
        <f>SUM(N48:Q57)</f>
        <v>-1369.58</v>
      </c>
      <c r="N62" s="264">
        <f>SUM(O48:R58)</f>
        <v>-384.25999999999976</v>
      </c>
      <c r="O62" s="264">
        <f>SUM(P48:S59)</f>
        <v>0</v>
      </c>
      <c r="P62" s="264">
        <f>SUM(Q48:T59)</f>
        <v>0</v>
      </c>
      <c r="Q62" s="264">
        <f t="shared" ref="Q62:R62" si="12">SUM(R48:U59)</f>
        <v>0</v>
      </c>
      <c r="R62" s="352">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topLeftCell="A20" zoomScaleNormal="100" workbookViewId="0">
      <selection activeCell="D29" sqref="D29"/>
    </sheetView>
  </sheetViews>
  <sheetFormatPr defaultColWidth="9.109375" defaultRowHeight="13.8" x14ac:dyDescent="0.25"/>
  <cols>
    <col min="1" max="1" width="96.109375" style="103" customWidth="1"/>
    <col min="2" max="16384" width="9.109375" style="103"/>
  </cols>
  <sheetData>
    <row r="1" spans="1:21" ht="15.6" x14ac:dyDescent="0.3">
      <c r="A1" s="339" t="s">
        <v>917</v>
      </c>
      <c r="B1" s="303"/>
      <c r="C1" s="303"/>
      <c r="D1" s="303"/>
      <c r="E1" s="303"/>
      <c r="F1" s="303"/>
      <c r="G1" s="303"/>
      <c r="H1" s="303"/>
      <c r="I1" s="303"/>
      <c r="J1" s="303"/>
      <c r="K1" s="303"/>
      <c r="L1" s="303"/>
      <c r="M1" s="303"/>
      <c r="N1" s="303"/>
      <c r="O1" s="303"/>
      <c r="P1" s="303"/>
      <c r="Q1" s="303"/>
      <c r="R1" s="303"/>
      <c r="S1" s="303"/>
      <c r="T1" s="303"/>
      <c r="U1" s="303"/>
    </row>
    <row r="2" spans="1:21" ht="15.6" x14ac:dyDescent="0.3">
      <c r="A2" s="339" t="s">
        <v>918</v>
      </c>
    </row>
    <row r="3" spans="1:21" ht="15.6" x14ac:dyDescent="0.25">
      <c r="A3" s="139" t="s">
        <v>743</v>
      </c>
    </row>
    <row r="4" spans="1:21" ht="15" x14ac:dyDescent="0.25">
      <c r="A4" s="140" t="s">
        <v>298</v>
      </c>
    </row>
    <row r="5" spans="1:21" ht="15" x14ac:dyDescent="0.25">
      <c r="A5" s="3" t="s">
        <v>834</v>
      </c>
    </row>
    <row r="7" spans="1:21" x14ac:dyDescent="0.25">
      <c r="A7" s="316" t="s">
        <v>841</v>
      </c>
    </row>
    <row r="8" spans="1:21" ht="6.6" customHeight="1" x14ac:dyDescent="0.25"/>
    <row r="9" spans="1:21" ht="41.4" x14ac:dyDescent="0.25">
      <c r="A9" s="325" t="s">
        <v>940</v>
      </c>
    </row>
    <row r="10" spans="1:21" ht="6.75" customHeight="1" x14ac:dyDescent="0.25"/>
    <row r="11" spans="1:21" x14ac:dyDescent="0.25">
      <c r="A11" s="103" t="s">
        <v>886</v>
      </c>
    </row>
    <row r="12" spans="1:21" ht="16.8" customHeight="1" x14ac:dyDescent="0.25"/>
    <row r="13" spans="1:21" x14ac:dyDescent="0.25">
      <c r="A13" s="318" t="s">
        <v>842</v>
      </c>
    </row>
    <row r="14" spans="1:21" ht="8.25" customHeight="1" x14ac:dyDescent="0.25">
      <c r="A14" s="141"/>
    </row>
    <row r="15" spans="1:21" x14ac:dyDescent="0.25">
      <c r="A15" s="317" t="s">
        <v>941</v>
      </c>
    </row>
    <row r="16" spans="1:21" ht="16.8" customHeight="1" x14ac:dyDescent="0.25">
      <c r="A16" s="317"/>
    </row>
    <row r="17" spans="1:1" x14ac:dyDescent="0.25">
      <c r="A17" s="318" t="s">
        <v>844</v>
      </c>
    </row>
    <row r="18" spans="1:1" ht="4.2" customHeight="1" x14ac:dyDescent="0.25">
      <c r="A18" s="318"/>
    </row>
    <row r="19" spans="1:1" ht="19.8" customHeight="1" x14ac:dyDescent="0.25">
      <c r="A19" s="103" t="s">
        <v>883</v>
      </c>
    </row>
    <row r="20" spans="1:1" ht="19.2" customHeight="1" x14ac:dyDescent="0.25"/>
    <row r="21" spans="1:1" x14ac:dyDescent="0.25">
      <c r="A21" s="318" t="s">
        <v>843</v>
      </c>
    </row>
    <row r="22" spans="1:1" ht="9" customHeight="1" x14ac:dyDescent="0.25">
      <c r="A22" s="306"/>
    </row>
    <row r="23" spans="1:1" ht="69" x14ac:dyDescent="0.25">
      <c r="A23" s="306" t="s">
        <v>884</v>
      </c>
    </row>
    <row r="24" spans="1:1" ht="6.75" customHeight="1" x14ac:dyDescent="0.25">
      <c r="A24" s="317"/>
    </row>
    <row r="25" spans="1:1" ht="69" x14ac:dyDescent="0.25">
      <c r="A25" s="306" t="s">
        <v>942</v>
      </c>
    </row>
    <row r="26" spans="1:1" ht="8.25" customHeight="1" x14ac:dyDescent="0.25">
      <c r="A26" s="317"/>
    </row>
    <row r="27" spans="1:1" ht="57" customHeight="1" x14ac:dyDescent="0.25">
      <c r="A27" s="306" t="s">
        <v>943</v>
      </c>
    </row>
    <row r="28" spans="1:1" ht="9" customHeight="1" x14ac:dyDescent="0.25">
      <c r="A28" s="317"/>
    </row>
    <row r="29" spans="1:1" ht="55.2" x14ac:dyDescent="0.25">
      <c r="A29" s="306" t="s">
        <v>885</v>
      </c>
    </row>
    <row r="30" spans="1:1" x14ac:dyDescent="0.25">
      <c r="A30" s="317"/>
    </row>
    <row r="31" spans="1:1" x14ac:dyDescent="0.25">
      <c r="A31" s="306"/>
    </row>
    <row r="32" spans="1:1" ht="151.80000000000001" x14ac:dyDescent="0.25">
      <c r="A32" s="142" t="s">
        <v>837</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topLeftCell="A7" zoomScaleNormal="100" workbookViewId="0">
      <pane xSplit="1" topLeftCell="O1" activePane="topRight" state="frozen"/>
      <selection pane="topRight" activeCell="R25" sqref="R25"/>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4.5546875" customWidth="1"/>
    <col min="8" max="8" width="18.5546875" customWidth="1"/>
    <col min="9" max="9" width="14.44140625" customWidth="1"/>
    <col min="10" max="10" width="18.44140625" customWidth="1"/>
    <col min="11" max="11" width="15.44140625" customWidth="1"/>
    <col min="12" max="12" width="18.44140625" style="315" customWidth="1"/>
    <col min="13" max="13" width="15" style="315" customWidth="1"/>
    <col min="14" max="14" width="18.44140625" style="324" customWidth="1"/>
    <col min="15" max="15" width="13.6640625" style="324" customWidth="1"/>
    <col min="16" max="16" width="18.44140625" style="333" customWidth="1"/>
    <col min="17" max="17" width="15.109375" style="333" customWidth="1"/>
    <col min="18" max="18" width="18.44140625" style="338" customWidth="1"/>
    <col min="19" max="19" width="14.21875" style="338" customWidth="1"/>
    <col min="20" max="20" width="18.44140625" style="346" customWidth="1"/>
    <col min="21" max="21" width="16.6640625" style="346" customWidth="1"/>
    <col min="22" max="22" width="18.44140625" style="309" customWidth="1"/>
    <col min="23" max="23" width="13.109375" style="309" customWidth="1"/>
  </cols>
  <sheetData>
    <row r="1" spans="1:23" s="61" customFormat="1" x14ac:dyDescent="0.3">
      <c r="A1" s="290" t="s">
        <v>772</v>
      </c>
      <c r="B1" s="291"/>
      <c r="C1" s="192"/>
      <c r="D1" s="296"/>
      <c r="L1" s="315"/>
      <c r="M1" s="315"/>
      <c r="N1" s="324"/>
      <c r="O1" s="324"/>
      <c r="P1" s="333"/>
      <c r="Q1" s="333"/>
      <c r="R1" s="338"/>
      <c r="S1" s="338"/>
      <c r="T1" s="346"/>
      <c r="U1" s="346"/>
      <c r="V1" s="309"/>
      <c r="W1" s="309"/>
    </row>
    <row r="2" spans="1:23" s="61" customFormat="1" x14ac:dyDescent="0.3">
      <c r="A2" s="292" t="s">
        <v>773</v>
      </c>
      <c r="B2" s="293"/>
      <c r="C2" s="192"/>
      <c r="D2" s="297"/>
      <c r="L2" s="315"/>
      <c r="M2" s="315"/>
      <c r="N2" s="324"/>
      <c r="O2" s="324"/>
      <c r="P2" s="333"/>
      <c r="Q2" s="333"/>
      <c r="R2" s="338"/>
      <c r="S2" s="338"/>
      <c r="T2" s="346"/>
      <c r="U2" s="346"/>
      <c r="V2" s="309"/>
      <c r="W2" s="309"/>
    </row>
    <row r="3" spans="1:23" s="61" customFormat="1" ht="15" thickBot="1" x14ac:dyDescent="0.35">
      <c r="A3" s="294"/>
      <c r="B3" s="295"/>
      <c r="C3" s="298"/>
      <c r="D3" s="298"/>
      <c r="L3" s="315"/>
      <c r="M3" s="315"/>
      <c r="N3" s="324"/>
      <c r="O3" s="324"/>
      <c r="P3" s="333"/>
      <c r="Q3" s="333"/>
      <c r="R3" s="338"/>
      <c r="S3" s="338"/>
      <c r="T3" s="346"/>
      <c r="U3" s="346"/>
      <c r="V3" s="309"/>
      <c r="W3" s="309"/>
    </row>
    <row r="4" spans="1:23" s="61" customFormat="1" ht="9.75" customHeight="1" x14ac:dyDescent="0.3">
      <c r="B4" s="288"/>
      <c r="C4" s="288"/>
      <c r="L4" s="315"/>
      <c r="M4" s="315"/>
      <c r="N4" s="324"/>
      <c r="O4" s="324"/>
      <c r="P4" s="333"/>
      <c r="Q4" s="333"/>
      <c r="R4" s="338"/>
      <c r="S4" s="338"/>
      <c r="T4" s="346"/>
      <c r="U4" s="346"/>
      <c r="V4" s="309"/>
      <c r="W4" s="309"/>
    </row>
    <row r="5" spans="1:23" x14ac:dyDescent="0.3">
      <c r="A5" s="62" t="s">
        <v>116</v>
      </c>
    </row>
    <row r="6" spans="1:23" s="63" customFormat="1" x14ac:dyDescent="0.3">
      <c r="A6" s="164" t="s">
        <v>149</v>
      </c>
    </row>
    <row r="7" spans="1:23" ht="28.8" x14ac:dyDescent="0.3">
      <c r="A7" t="s">
        <v>94</v>
      </c>
      <c r="B7" s="56" t="s">
        <v>95</v>
      </c>
      <c r="C7" s="56" t="s">
        <v>96</v>
      </c>
      <c r="D7" s="56" t="s">
        <v>97</v>
      </c>
      <c r="E7" s="56" t="s">
        <v>98</v>
      </c>
      <c r="F7" s="56" t="s">
        <v>99</v>
      </c>
      <c r="G7" s="56" t="s">
        <v>100</v>
      </c>
      <c r="H7" s="56" t="s">
        <v>810</v>
      </c>
      <c r="I7" s="56" t="s">
        <v>809</v>
      </c>
      <c r="J7" s="56" t="s">
        <v>838</v>
      </c>
      <c r="K7" s="56" t="s">
        <v>839</v>
      </c>
      <c r="L7" s="56" t="s">
        <v>846</v>
      </c>
      <c r="M7" s="56" t="s">
        <v>847</v>
      </c>
      <c r="N7" s="56" t="s">
        <v>850</v>
      </c>
      <c r="O7" s="56" t="s">
        <v>851</v>
      </c>
      <c r="P7" s="56" t="s">
        <v>852</v>
      </c>
      <c r="Q7" s="56" t="s">
        <v>853</v>
      </c>
      <c r="R7" s="56" t="s">
        <v>881</v>
      </c>
      <c r="S7" s="56" t="s">
        <v>882</v>
      </c>
      <c r="T7" s="56" t="s">
        <v>894</v>
      </c>
      <c r="U7" s="56" t="s">
        <v>895</v>
      </c>
      <c r="V7" s="56" t="s">
        <v>925</v>
      </c>
      <c r="W7" s="56" t="s">
        <v>926</v>
      </c>
    </row>
    <row r="9" spans="1:23" x14ac:dyDescent="0.3">
      <c r="A9" t="s">
        <v>101</v>
      </c>
      <c r="B9" s="65">
        <v>3616.58</v>
      </c>
      <c r="C9" s="65">
        <v>60276.33</v>
      </c>
      <c r="D9" s="65">
        <v>3786.75</v>
      </c>
      <c r="E9" s="65">
        <v>63112.5</v>
      </c>
      <c r="F9" s="65">
        <v>3704.08</v>
      </c>
      <c r="G9" s="65">
        <v>61734.67</v>
      </c>
      <c r="H9" s="65">
        <v>3872</v>
      </c>
      <c r="I9" s="65">
        <v>64533.33</v>
      </c>
      <c r="J9" s="65">
        <v>3703.25</v>
      </c>
      <c r="K9" s="65">
        <v>61720.83</v>
      </c>
      <c r="L9" s="65">
        <v>4087.67</v>
      </c>
      <c r="M9" s="65">
        <v>68127.839999999997</v>
      </c>
      <c r="N9" s="65">
        <v>4457.67</v>
      </c>
      <c r="O9" s="65">
        <v>74294.5</v>
      </c>
      <c r="P9" s="65">
        <v>4956</v>
      </c>
      <c r="Q9" s="65">
        <v>82600</v>
      </c>
      <c r="R9" s="65">
        <v>5039.83</v>
      </c>
      <c r="S9" s="65">
        <v>83997.17</v>
      </c>
      <c r="T9" s="65">
        <v>4605.17</v>
      </c>
      <c r="U9" s="65">
        <v>76752.83</v>
      </c>
      <c r="V9" s="65">
        <v>4539.75</v>
      </c>
      <c r="W9" s="65">
        <v>75662.5</v>
      </c>
    </row>
    <row r="10" spans="1:23" x14ac:dyDescent="0.3">
      <c r="A10" t="s">
        <v>102</v>
      </c>
      <c r="B10" s="65">
        <v>3616.58</v>
      </c>
      <c r="C10" s="65">
        <v>60276.33</v>
      </c>
      <c r="D10" s="65">
        <v>3786.75</v>
      </c>
      <c r="E10" s="65">
        <v>63112.5</v>
      </c>
      <c r="F10" s="65">
        <v>3704.08</v>
      </c>
      <c r="G10" s="65">
        <v>61734.67</v>
      </c>
      <c r="H10" s="65">
        <v>3872</v>
      </c>
      <c r="I10" s="65">
        <v>64533.33</v>
      </c>
      <c r="J10" s="65">
        <v>3703.25</v>
      </c>
      <c r="K10" s="65">
        <v>61720.83</v>
      </c>
      <c r="L10" s="65">
        <v>4087.67</v>
      </c>
      <c r="M10" s="65">
        <v>68127.839999999997</v>
      </c>
      <c r="N10" s="65">
        <v>4457.67</v>
      </c>
      <c r="O10" s="65">
        <v>74294.5</v>
      </c>
      <c r="P10" s="65">
        <v>4956</v>
      </c>
      <c r="Q10" s="65">
        <v>82600</v>
      </c>
      <c r="R10" s="65">
        <v>5039.83</v>
      </c>
      <c r="S10" s="65">
        <v>83997.17</v>
      </c>
      <c r="T10" s="65">
        <v>4605.17</v>
      </c>
      <c r="U10" s="65">
        <v>76752.83</v>
      </c>
      <c r="V10" s="65">
        <v>4539.75</v>
      </c>
      <c r="W10" s="65">
        <v>75662.5</v>
      </c>
    </row>
    <row r="11" spans="1:23" x14ac:dyDescent="0.3">
      <c r="A11" t="s">
        <v>103</v>
      </c>
      <c r="B11" s="65">
        <v>3616.59</v>
      </c>
      <c r="C11" s="65">
        <v>60276.5</v>
      </c>
      <c r="D11" s="65">
        <v>3786.75</v>
      </c>
      <c r="E11" s="65">
        <v>63112.5</v>
      </c>
      <c r="F11" s="65">
        <v>3704.09</v>
      </c>
      <c r="G11" s="65">
        <v>61734.83</v>
      </c>
      <c r="H11" s="65">
        <v>3872</v>
      </c>
      <c r="I11" s="65">
        <v>64533.33</v>
      </c>
      <c r="J11" s="65">
        <v>3703.25</v>
      </c>
      <c r="K11" s="65">
        <v>61720.83</v>
      </c>
      <c r="L11" s="65">
        <v>4087.66</v>
      </c>
      <c r="M11" s="65">
        <v>68127.67</v>
      </c>
      <c r="N11" s="65">
        <v>4457.66</v>
      </c>
      <c r="O11" s="65">
        <v>74294.34</v>
      </c>
      <c r="P11" s="65">
        <v>4956</v>
      </c>
      <c r="Q11" s="65">
        <v>82600</v>
      </c>
      <c r="R11" s="65">
        <v>5039.83</v>
      </c>
      <c r="S11" s="65">
        <v>83997.17</v>
      </c>
      <c r="T11" s="65">
        <v>4605.17</v>
      </c>
      <c r="U11" s="65">
        <v>76752.83</v>
      </c>
      <c r="V11" s="65">
        <v>4539.75</v>
      </c>
      <c r="W11" s="65">
        <v>75662.5</v>
      </c>
    </row>
    <row r="12" spans="1:23" x14ac:dyDescent="0.3">
      <c r="A12" t="s">
        <v>104</v>
      </c>
      <c r="B12" s="65">
        <v>3616.59</v>
      </c>
      <c r="C12" s="65">
        <v>60276.5</v>
      </c>
      <c r="D12" s="65">
        <v>3786.75</v>
      </c>
      <c r="E12" s="65">
        <v>63112.5</v>
      </c>
      <c r="F12" s="65">
        <v>3704.09</v>
      </c>
      <c r="G12" s="65">
        <v>61734.83</v>
      </c>
      <c r="H12" s="65">
        <v>3872</v>
      </c>
      <c r="I12" s="65">
        <v>64533.33</v>
      </c>
      <c r="J12" s="65">
        <v>3703.25</v>
      </c>
      <c r="K12" s="65">
        <v>61720.83</v>
      </c>
      <c r="L12" s="65">
        <v>4087.66</v>
      </c>
      <c r="M12" s="65">
        <v>68127.67</v>
      </c>
      <c r="N12" s="65">
        <v>4457.66</v>
      </c>
      <c r="O12" s="65">
        <v>74294.34</v>
      </c>
      <c r="P12" s="65">
        <v>4956</v>
      </c>
      <c r="Q12" s="65">
        <v>82600</v>
      </c>
      <c r="R12" s="65">
        <v>5039.83</v>
      </c>
      <c r="S12" s="65">
        <v>83997.17</v>
      </c>
      <c r="T12" s="65">
        <v>4605.17</v>
      </c>
      <c r="U12" s="65">
        <v>76752.83</v>
      </c>
      <c r="V12" s="65">
        <v>4539.75</v>
      </c>
      <c r="W12" s="65">
        <v>75662.5</v>
      </c>
    </row>
    <row r="13" spans="1:23" x14ac:dyDescent="0.3">
      <c r="A13" t="s">
        <v>105</v>
      </c>
      <c r="B13" s="65">
        <v>3616.59</v>
      </c>
      <c r="C13" s="65">
        <v>60276.5</v>
      </c>
      <c r="D13" s="65">
        <v>3786.75</v>
      </c>
      <c r="E13" s="65">
        <v>63112.5</v>
      </c>
      <c r="F13" s="65">
        <v>3704.09</v>
      </c>
      <c r="G13" s="65">
        <v>61734.83</v>
      </c>
      <c r="H13" s="65">
        <v>3872</v>
      </c>
      <c r="I13" s="65">
        <v>64533.33</v>
      </c>
      <c r="J13" s="65">
        <v>3703.25</v>
      </c>
      <c r="K13" s="65">
        <v>61720.83</v>
      </c>
      <c r="L13" s="65">
        <v>4087.66</v>
      </c>
      <c r="M13" s="65">
        <v>68127.67</v>
      </c>
      <c r="N13" s="65">
        <v>4457.66</v>
      </c>
      <c r="O13" s="65">
        <v>74294.34</v>
      </c>
      <c r="P13" s="65">
        <v>4956</v>
      </c>
      <c r="Q13" s="65">
        <v>82600</v>
      </c>
      <c r="R13" s="65">
        <v>5039.83</v>
      </c>
      <c r="S13" s="65">
        <v>83997.17</v>
      </c>
      <c r="T13" s="65">
        <v>4605.17</v>
      </c>
      <c r="U13" s="65">
        <v>76752.83</v>
      </c>
      <c r="V13" s="65">
        <v>4539.75</v>
      </c>
      <c r="W13" s="65">
        <v>75662.5</v>
      </c>
    </row>
    <row r="14" spans="1:23" x14ac:dyDescent="0.3">
      <c r="A14" t="s">
        <v>106</v>
      </c>
      <c r="B14" s="65">
        <v>3616.59</v>
      </c>
      <c r="C14" s="65">
        <v>60276.5</v>
      </c>
      <c r="D14" s="65">
        <v>3786.75</v>
      </c>
      <c r="E14" s="65">
        <v>63112.5</v>
      </c>
      <c r="F14" s="65">
        <v>3704.09</v>
      </c>
      <c r="G14" s="65">
        <v>61734.83</v>
      </c>
      <c r="H14" s="65">
        <v>3872</v>
      </c>
      <c r="I14" s="65">
        <v>64533.33</v>
      </c>
      <c r="J14" s="65">
        <v>3703.25</v>
      </c>
      <c r="K14" s="65">
        <v>61720.83</v>
      </c>
      <c r="L14" s="65">
        <v>4087.66</v>
      </c>
      <c r="M14" s="65">
        <v>68127.67</v>
      </c>
      <c r="N14" s="65">
        <v>4457.66</v>
      </c>
      <c r="O14" s="65">
        <v>74294.34</v>
      </c>
      <c r="P14" s="65">
        <v>4956</v>
      </c>
      <c r="Q14" s="65">
        <v>82600</v>
      </c>
      <c r="R14" s="65">
        <v>5039.87</v>
      </c>
      <c r="S14" s="65">
        <v>83997.83</v>
      </c>
      <c r="T14" s="65">
        <f>4605.17-0.04</f>
        <v>4605.13</v>
      </c>
      <c r="U14" s="65">
        <v>76752.17</v>
      </c>
      <c r="V14" s="65">
        <v>4539.75</v>
      </c>
      <c r="W14" s="65">
        <v>75662.5</v>
      </c>
    </row>
    <row r="15" spans="1:23" x14ac:dyDescent="0.3">
      <c r="A15" s="58" t="s">
        <v>107</v>
      </c>
      <c r="B15" s="240">
        <f t="shared" ref="B15:C15" si="0">SUM(B9:B14)</f>
        <v>21699.52</v>
      </c>
      <c r="C15" s="240">
        <f t="shared" si="0"/>
        <v>361658.66000000003</v>
      </c>
      <c r="D15" s="240">
        <f t="shared" ref="D15:K15" si="1">SUM(D9:D14)</f>
        <v>22720.5</v>
      </c>
      <c r="E15" s="240">
        <f t="shared" si="1"/>
        <v>378675</v>
      </c>
      <c r="F15" s="240">
        <f t="shared" si="1"/>
        <v>22224.52</v>
      </c>
      <c r="G15" s="240">
        <f t="shared" si="1"/>
        <v>370408.66000000003</v>
      </c>
      <c r="H15" s="240">
        <f t="shared" si="1"/>
        <v>23232</v>
      </c>
      <c r="I15" s="240">
        <f t="shared" si="1"/>
        <v>387199.98000000004</v>
      </c>
      <c r="J15" s="240">
        <f>SUM(J9:J14)</f>
        <v>22219.5</v>
      </c>
      <c r="K15" s="240">
        <f t="shared" si="1"/>
        <v>370324.98000000004</v>
      </c>
      <c r="L15" s="240">
        <f>SUM(L9:L14)</f>
        <v>24525.98</v>
      </c>
      <c r="M15" s="240">
        <f t="shared" ref="M15:W15" si="2">SUM(M9:M14)</f>
        <v>408766.35999999993</v>
      </c>
      <c r="N15" s="240">
        <f>SUM(N9:N14)</f>
        <v>26745.98</v>
      </c>
      <c r="O15" s="240">
        <f t="shared" ref="O15" si="3">SUM(O9:O14)</f>
        <v>445766.36</v>
      </c>
      <c r="P15" s="240">
        <f>SUM(P9:P14)</f>
        <v>29736</v>
      </c>
      <c r="Q15" s="240">
        <f t="shared" ref="Q15" si="4">SUM(Q9:Q14)</f>
        <v>495600</v>
      </c>
      <c r="R15" s="240">
        <f>SUM(R9:R14)</f>
        <v>30239.02</v>
      </c>
      <c r="S15" s="240">
        <f t="shared" ref="S15" si="5">SUM(S9:S14)</f>
        <v>503983.68</v>
      </c>
      <c r="T15" s="240">
        <f>SUM(T9:T14)</f>
        <v>27630.98</v>
      </c>
      <c r="U15" s="240">
        <f t="shared" ref="U15" si="6">SUM(U9:U14)</f>
        <v>460516.32</v>
      </c>
      <c r="V15" s="240">
        <f>SUM(V9:V14)</f>
        <v>27238.5</v>
      </c>
      <c r="W15" s="240">
        <f t="shared" si="2"/>
        <v>453975</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108</v>
      </c>
      <c r="B17" s="65">
        <v>3786.75</v>
      </c>
      <c r="C17" s="65">
        <v>63112.5</v>
      </c>
      <c r="D17" s="65">
        <v>3704.08</v>
      </c>
      <c r="E17" s="65">
        <v>61734.67</v>
      </c>
      <c r="F17" s="65">
        <v>3872</v>
      </c>
      <c r="G17" s="65">
        <v>64533.33</v>
      </c>
      <c r="H17" s="65">
        <v>3703.25</v>
      </c>
      <c r="I17" s="65">
        <v>61720.83</v>
      </c>
      <c r="J17" s="65">
        <v>4087.67</v>
      </c>
      <c r="K17" s="65">
        <v>68127.839999999997</v>
      </c>
      <c r="L17" s="65">
        <v>4457.67</v>
      </c>
      <c r="M17" s="65">
        <v>74294.5</v>
      </c>
      <c r="N17" s="65">
        <v>4956</v>
      </c>
      <c r="O17" s="65">
        <v>82600</v>
      </c>
      <c r="P17" s="65">
        <v>5039.83</v>
      </c>
      <c r="Q17" s="65">
        <v>83997.17</v>
      </c>
      <c r="R17" s="65">
        <v>4605.17</v>
      </c>
      <c r="S17" s="65">
        <v>76752.83</v>
      </c>
      <c r="T17" s="65">
        <v>4539.75</v>
      </c>
      <c r="U17" s="65">
        <v>75662.5</v>
      </c>
      <c r="V17" s="65">
        <v>4630.54</v>
      </c>
      <c r="W17" s="65">
        <v>77175.66</v>
      </c>
    </row>
    <row r="18" spans="1:23" x14ac:dyDescent="0.3">
      <c r="A18" t="s">
        <v>109</v>
      </c>
      <c r="B18" s="65">
        <v>3786.75</v>
      </c>
      <c r="C18" s="65">
        <v>63112.5</v>
      </c>
      <c r="D18" s="65">
        <v>3704.08</v>
      </c>
      <c r="E18" s="65">
        <v>61734.67</v>
      </c>
      <c r="F18" s="65">
        <v>3872</v>
      </c>
      <c r="G18" s="65">
        <v>64533.33</v>
      </c>
      <c r="H18" s="65">
        <v>3703.25</v>
      </c>
      <c r="I18" s="65">
        <v>61720.83</v>
      </c>
      <c r="J18" s="65">
        <v>4087.67</v>
      </c>
      <c r="K18" s="65">
        <v>68127.839999999997</v>
      </c>
      <c r="L18" s="65">
        <v>4457.67</v>
      </c>
      <c r="M18" s="65">
        <v>74294.5</v>
      </c>
      <c r="N18" s="65">
        <v>4956</v>
      </c>
      <c r="O18" s="65">
        <v>82600</v>
      </c>
      <c r="P18" s="65">
        <v>5039.83</v>
      </c>
      <c r="Q18" s="65">
        <v>83997.17</v>
      </c>
      <c r="R18" s="65">
        <v>4605.17</v>
      </c>
      <c r="S18" s="65">
        <v>76752.83</v>
      </c>
      <c r="T18" s="65">
        <v>4539.75</v>
      </c>
      <c r="U18" s="65">
        <v>75662.5</v>
      </c>
      <c r="V18" s="65">
        <v>4630.54</v>
      </c>
      <c r="W18" s="65">
        <v>77175.66</v>
      </c>
    </row>
    <row r="19" spans="1:23" x14ac:dyDescent="0.3">
      <c r="A19" t="s">
        <v>110</v>
      </c>
      <c r="B19" s="65">
        <v>3786.75</v>
      </c>
      <c r="C19" s="65">
        <v>63112.5</v>
      </c>
      <c r="D19" s="65">
        <v>3704.08</v>
      </c>
      <c r="E19" s="65">
        <v>61734.67</v>
      </c>
      <c r="F19" s="65">
        <v>3872</v>
      </c>
      <c r="G19" s="65">
        <v>64533.33</v>
      </c>
      <c r="H19" s="65">
        <v>3703.25</v>
      </c>
      <c r="I19" s="65">
        <v>61720.83</v>
      </c>
      <c r="J19" s="65">
        <v>4087.67</v>
      </c>
      <c r="K19" s="65">
        <v>68127.839999999997</v>
      </c>
      <c r="L19" s="65">
        <v>4457.67</v>
      </c>
      <c r="M19" s="65">
        <v>74294.5</v>
      </c>
      <c r="N19" s="65">
        <v>4956</v>
      </c>
      <c r="O19" s="65">
        <v>82600</v>
      </c>
      <c r="P19" s="65">
        <v>5039.83</v>
      </c>
      <c r="Q19" s="65">
        <v>83997.17</v>
      </c>
      <c r="R19" s="65">
        <v>4605.17</v>
      </c>
      <c r="S19" s="65">
        <v>76752.83</v>
      </c>
      <c r="T19" s="65">
        <v>4539.75</v>
      </c>
      <c r="U19" s="65">
        <v>75662.5</v>
      </c>
      <c r="V19" s="65">
        <v>4630.54</v>
      </c>
      <c r="W19" s="65">
        <v>77175.66</v>
      </c>
    </row>
    <row r="20" spans="1:23" x14ac:dyDescent="0.3">
      <c r="A20" t="s">
        <v>111</v>
      </c>
      <c r="B20" s="65">
        <v>3786.75</v>
      </c>
      <c r="C20" s="65">
        <v>63112.5</v>
      </c>
      <c r="D20" s="65">
        <v>3704.08</v>
      </c>
      <c r="E20" s="65">
        <v>61734.67</v>
      </c>
      <c r="F20" s="65">
        <v>3872</v>
      </c>
      <c r="G20" s="65">
        <v>64533.33</v>
      </c>
      <c r="H20" s="65">
        <v>3703.25</v>
      </c>
      <c r="I20" s="65">
        <v>61720.83</v>
      </c>
      <c r="J20" s="65">
        <v>4087.67</v>
      </c>
      <c r="K20" s="65">
        <v>68127.839999999997</v>
      </c>
      <c r="L20" s="65">
        <v>4457.67</v>
      </c>
      <c r="M20" s="65">
        <v>74294.5</v>
      </c>
      <c r="N20" s="65">
        <v>4956</v>
      </c>
      <c r="O20" s="65">
        <v>82600</v>
      </c>
      <c r="P20" s="65">
        <v>5039.83</v>
      </c>
      <c r="Q20" s="65">
        <v>83997.17</v>
      </c>
      <c r="R20" s="65">
        <v>4605.17</v>
      </c>
      <c r="S20" s="65">
        <v>76752.83</v>
      </c>
      <c r="T20" s="65">
        <v>4539.75</v>
      </c>
      <c r="U20" s="65">
        <v>75662.5</v>
      </c>
      <c r="V20" s="65">
        <v>4630.54</v>
      </c>
      <c r="W20" s="65">
        <v>77175.66</v>
      </c>
    </row>
    <row r="21" spans="1:23" x14ac:dyDescent="0.3">
      <c r="A21" t="s">
        <v>112</v>
      </c>
      <c r="B21" s="65">
        <v>3786.75</v>
      </c>
      <c r="C21" s="65">
        <v>63112.5</v>
      </c>
      <c r="D21" s="65">
        <v>3704.08</v>
      </c>
      <c r="E21" s="65">
        <v>61734.67</v>
      </c>
      <c r="F21" s="65">
        <v>3872</v>
      </c>
      <c r="G21" s="65">
        <v>64533.33</v>
      </c>
      <c r="H21" s="65">
        <v>3703.25</v>
      </c>
      <c r="I21" s="65">
        <v>61720.83</v>
      </c>
      <c r="J21" s="65">
        <v>4087.67</v>
      </c>
      <c r="K21" s="65">
        <v>68127.839999999997</v>
      </c>
      <c r="L21" s="65">
        <v>4457.67</v>
      </c>
      <c r="M21" s="65">
        <v>74294.5</v>
      </c>
      <c r="N21" s="65">
        <v>4956</v>
      </c>
      <c r="O21" s="65">
        <v>82600</v>
      </c>
      <c r="P21" s="65">
        <v>5039.83</v>
      </c>
      <c r="Q21" s="65">
        <v>83997.17</v>
      </c>
      <c r="R21" s="65">
        <v>4605.17</v>
      </c>
      <c r="S21" s="65">
        <v>76752.83</v>
      </c>
      <c r="T21" s="65">
        <v>4539.75</v>
      </c>
      <c r="U21" s="65">
        <v>75662.5</v>
      </c>
      <c r="V21" s="65">
        <v>4630.54</v>
      </c>
      <c r="W21" s="65">
        <v>77175.66</v>
      </c>
    </row>
    <row r="22" spans="1:23" x14ac:dyDescent="0.3">
      <c r="A22" t="s">
        <v>113</v>
      </c>
      <c r="B22" s="65">
        <v>3786.75</v>
      </c>
      <c r="C22" s="65">
        <v>63112.5</v>
      </c>
      <c r="D22" s="65">
        <v>3704.08</v>
      </c>
      <c r="E22" s="65">
        <v>61734.67</v>
      </c>
      <c r="F22" s="65">
        <v>3872</v>
      </c>
      <c r="G22" s="65">
        <v>64533.33</v>
      </c>
      <c r="H22" s="65">
        <v>3703.25</v>
      </c>
      <c r="I22" s="65">
        <v>61720.83</v>
      </c>
      <c r="J22" s="65">
        <v>4087.67</v>
      </c>
      <c r="K22" s="65">
        <v>68127.839999999997</v>
      </c>
      <c r="L22" s="65">
        <v>4457.67</v>
      </c>
      <c r="M22" s="65">
        <v>74294.5</v>
      </c>
      <c r="N22" s="65">
        <v>4956</v>
      </c>
      <c r="O22" s="65">
        <v>82600</v>
      </c>
      <c r="P22" s="65">
        <v>5039.83</v>
      </c>
      <c r="Q22" s="65">
        <v>83997.17</v>
      </c>
      <c r="R22" s="65">
        <v>4605.17</v>
      </c>
      <c r="S22" s="65">
        <v>76752.83</v>
      </c>
      <c r="T22" s="65">
        <v>4539.75</v>
      </c>
      <c r="U22" s="65">
        <v>75662.5</v>
      </c>
      <c r="V22" s="65">
        <v>4630.54</v>
      </c>
      <c r="W22" s="65">
        <v>77175.66</v>
      </c>
    </row>
    <row r="23" spans="1:23" x14ac:dyDescent="0.3">
      <c r="A23" s="58" t="s">
        <v>114</v>
      </c>
      <c r="B23" s="240">
        <f t="shared" ref="B23:C23" si="7">SUM(B17:B22)</f>
        <v>22720.5</v>
      </c>
      <c r="C23" s="240">
        <f t="shared" si="7"/>
        <v>378675</v>
      </c>
      <c r="D23" s="240">
        <f t="shared" ref="D23:U23" si="8">SUM(D17:D22)</f>
        <v>22224.480000000003</v>
      </c>
      <c r="E23" s="240">
        <f t="shared" si="8"/>
        <v>370408.01999999996</v>
      </c>
      <c r="F23" s="240">
        <f t="shared" si="8"/>
        <v>23232</v>
      </c>
      <c r="G23" s="240">
        <f t="shared" si="8"/>
        <v>387199.98000000004</v>
      </c>
      <c r="H23" s="240">
        <f t="shared" si="8"/>
        <v>22219.5</v>
      </c>
      <c r="I23" s="240">
        <f t="shared" si="8"/>
        <v>370324.98000000004</v>
      </c>
      <c r="J23" s="240">
        <f t="shared" si="8"/>
        <v>24526.019999999997</v>
      </c>
      <c r="K23" s="240">
        <f t="shared" si="8"/>
        <v>408767.03999999992</v>
      </c>
      <c r="L23" s="240">
        <f t="shared" si="8"/>
        <v>26746.019999999997</v>
      </c>
      <c r="M23" s="240">
        <f t="shared" si="8"/>
        <v>445767</v>
      </c>
      <c r="N23" s="240">
        <f t="shared" si="8"/>
        <v>29736</v>
      </c>
      <c r="O23" s="240">
        <f t="shared" si="8"/>
        <v>495600</v>
      </c>
      <c r="P23" s="240">
        <f t="shared" si="8"/>
        <v>30238.980000000003</v>
      </c>
      <c r="Q23" s="240">
        <f t="shared" si="8"/>
        <v>503983.01999999996</v>
      </c>
      <c r="R23" s="240">
        <f t="shared" si="8"/>
        <v>27631.019999999997</v>
      </c>
      <c r="S23" s="240">
        <f t="shared" si="8"/>
        <v>460516.98000000004</v>
      </c>
      <c r="T23" s="240">
        <f t="shared" si="8"/>
        <v>27238.5</v>
      </c>
      <c r="U23" s="240">
        <f t="shared" si="8"/>
        <v>453975</v>
      </c>
      <c r="V23" s="240">
        <f t="shared" ref="V23:W23" si="9">SUM(V17:V22)</f>
        <v>27783.24</v>
      </c>
      <c r="W23" s="240">
        <f t="shared" si="9"/>
        <v>463053.96000000008</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117</v>
      </c>
      <c r="B25" s="127">
        <f t="shared" ref="B25:C25" si="10">B23+B15</f>
        <v>44420.020000000004</v>
      </c>
      <c r="C25" s="127">
        <f t="shared" si="10"/>
        <v>740333.66</v>
      </c>
      <c r="D25" s="127">
        <f t="shared" ref="D25:U25" si="11">D23+D15</f>
        <v>44944.98</v>
      </c>
      <c r="E25" s="127">
        <f t="shared" si="11"/>
        <v>749083.02</v>
      </c>
      <c r="F25" s="127">
        <f t="shared" si="11"/>
        <v>45456.520000000004</v>
      </c>
      <c r="G25" s="127">
        <f t="shared" si="11"/>
        <v>757608.64000000013</v>
      </c>
      <c r="H25" s="127">
        <f t="shared" si="11"/>
        <v>45451.5</v>
      </c>
      <c r="I25" s="127">
        <f t="shared" si="11"/>
        <v>757524.96000000008</v>
      </c>
      <c r="J25" s="127">
        <f t="shared" si="11"/>
        <v>46745.52</v>
      </c>
      <c r="K25" s="127">
        <f t="shared" si="11"/>
        <v>779092.02</v>
      </c>
      <c r="L25" s="127">
        <f t="shared" si="11"/>
        <v>51272</v>
      </c>
      <c r="M25" s="127">
        <f t="shared" si="11"/>
        <v>854533.35999999987</v>
      </c>
      <c r="N25" s="127">
        <f t="shared" si="11"/>
        <v>56481.979999999996</v>
      </c>
      <c r="O25" s="127">
        <f t="shared" si="11"/>
        <v>941366.36</v>
      </c>
      <c r="P25" s="127">
        <f>P23+P15</f>
        <v>59974.98</v>
      </c>
      <c r="Q25" s="127">
        <f t="shared" si="11"/>
        <v>999583.02</v>
      </c>
      <c r="R25" s="127">
        <f t="shared" si="11"/>
        <v>57870.039999999994</v>
      </c>
      <c r="S25" s="127">
        <f t="shared" si="11"/>
        <v>964500.66</v>
      </c>
      <c r="T25" s="127">
        <f t="shared" si="11"/>
        <v>54869.479999999996</v>
      </c>
      <c r="U25" s="127">
        <f t="shared" si="11"/>
        <v>914491.32000000007</v>
      </c>
      <c r="V25" s="127">
        <f t="shared" ref="V25:W25" si="12">V23+V15</f>
        <v>55021.740000000005</v>
      </c>
      <c r="W25" s="127">
        <f t="shared" si="12"/>
        <v>917028.96000000008</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150</v>
      </c>
      <c r="B27" s="127"/>
      <c r="C27" s="127"/>
      <c r="D27" s="127">
        <f>B23+D15</f>
        <v>45441</v>
      </c>
      <c r="E27" s="127">
        <f>C23+E15</f>
        <v>757350</v>
      </c>
      <c r="F27" s="127">
        <f>D23+F15</f>
        <v>44449</v>
      </c>
      <c r="G27" s="127">
        <f>E23+G15</f>
        <v>740816.67999999993</v>
      </c>
      <c r="H27" s="127">
        <f t="shared" ref="H27:I27" si="13">F23+H15</f>
        <v>46464</v>
      </c>
      <c r="I27" s="127">
        <f t="shared" si="13"/>
        <v>774399.96000000008</v>
      </c>
      <c r="J27" s="127">
        <f t="shared" ref="J27:M27" si="14">H23+J15</f>
        <v>44439</v>
      </c>
      <c r="K27" s="127">
        <f t="shared" si="14"/>
        <v>740649.96000000008</v>
      </c>
      <c r="L27" s="127">
        <f t="shared" si="14"/>
        <v>49052</v>
      </c>
      <c r="M27" s="127">
        <f t="shared" si="14"/>
        <v>817533.39999999991</v>
      </c>
      <c r="N27" s="127">
        <f t="shared" ref="N27:Q27" si="15">L23+N15</f>
        <v>53492</v>
      </c>
      <c r="O27" s="127">
        <f t="shared" si="15"/>
        <v>891533.36</v>
      </c>
      <c r="P27" s="127">
        <f>N23+P15</f>
        <v>59472</v>
      </c>
      <c r="Q27" s="127">
        <f t="shared" si="15"/>
        <v>991200</v>
      </c>
      <c r="R27" s="127">
        <f t="shared" ref="R27:W27" si="16">P23+R15</f>
        <v>60478</v>
      </c>
      <c r="S27" s="127">
        <f t="shared" si="16"/>
        <v>1007966.7</v>
      </c>
      <c r="T27" s="127">
        <f t="shared" si="16"/>
        <v>55262</v>
      </c>
      <c r="U27" s="127">
        <f t="shared" si="16"/>
        <v>921033.3</v>
      </c>
      <c r="V27" s="127">
        <f t="shared" si="16"/>
        <v>54477</v>
      </c>
      <c r="W27" s="127">
        <f t="shared" si="16"/>
        <v>907950</v>
      </c>
    </row>
    <row r="28" spans="1:23" ht="15" thickTop="1" x14ac:dyDescent="0.3"/>
    <row r="30" spans="1:23" x14ac:dyDescent="0.3">
      <c r="A30" s="165" t="s">
        <v>115</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0"/>
  <sheetViews>
    <sheetView tabSelected="1" zoomScaleNormal="100" workbookViewId="0">
      <selection activeCell="A4" sqref="A4"/>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89" t="s">
        <v>772</v>
      </c>
      <c r="B1" s="390"/>
      <c r="C1" s="390"/>
      <c r="D1" s="391"/>
    </row>
    <row r="2" spans="1:12" s="96" customFormat="1" ht="14.4" thickBot="1" x14ac:dyDescent="0.3">
      <c r="A2" s="392" t="s">
        <v>773</v>
      </c>
      <c r="B2" s="393"/>
      <c r="C2" s="393"/>
      <c r="D2" s="394"/>
    </row>
    <row r="3" spans="1:12" s="96" customFormat="1" ht="13.8" x14ac:dyDescent="0.25">
      <c r="A3" s="237"/>
    </row>
    <row r="4" spans="1:12" s="1" customFormat="1" ht="15.6" x14ac:dyDescent="0.3">
      <c r="A4" s="1" t="s">
        <v>924</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919</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302</v>
      </c>
      <c r="K17" s="3"/>
    </row>
    <row r="18" spans="1:11" s="287" customFormat="1" x14ac:dyDescent="0.25">
      <c r="A18" s="6">
        <v>42551</v>
      </c>
      <c r="B18" s="7">
        <v>999999</v>
      </c>
      <c r="C18" s="7"/>
      <c r="D18" s="7" t="s">
        <v>17</v>
      </c>
      <c r="E18" s="7"/>
      <c r="F18" s="8">
        <v>45441</v>
      </c>
      <c r="G18" s="7"/>
      <c r="H18" s="7">
        <v>3.9829299999999998E-4</v>
      </c>
      <c r="I18" s="3"/>
      <c r="J18" s="3">
        <v>4.38</v>
      </c>
      <c r="K18" s="3"/>
    </row>
    <row r="19" spans="1:11" s="242" customFormat="1" x14ac:dyDescent="0.25">
      <c r="A19" s="6">
        <v>42916</v>
      </c>
      <c r="B19" s="7">
        <v>999999</v>
      </c>
      <c r="C19" s="7"/>
      <c r="D19" s="7" t="s">
        <v>17</v>
      </c>
      <c r="E19" s="7"/>
      <c r="F19" s="8">
        <v>44449</v>
      </c>
      <c r="G19" s="7"/>
      <c r="H19" s="7">
        <v>3.64612E-4</v>
      </c>
      <c r="I19" s="3"/>
      <c r="J19" s="3">
        <v>4.46</v>
      </c>
      <c r="K19" s="3"/>
    </row>
    <row r="20" spans="1:11" x14ac:dyDescent="0.25">
      <c r="A20" s="6">
        <v>43281</v>
      </c>
      <c r="B20" s="7">
        <v>999999</v>
      </c>
      <c r="C20" s="7"/>
      <c r="D20" s="7" t="s">
        <v>17</v>
      </c>
      <c r="E20" s="7"/>
      <c r="F20" s="8">
        <v>46464</v>
      </c>
      <c r="G20" s="7"/>
      <c r="H20" s="7">
        <v>3.7250400000000001E-4</v>
      </c>
      <c r="I20" s="3"/>
      <c r="J20" s="3">
        <v>4.3099999999999996</v>
      </c>
      <c r="K20" s="3"/>
    </row>
    <row r="21" spans="1:11" s="308" customFormat="1" x14ac:dyDescent="0.25">
      <c r="A21" s="6">
        <v>43646</v>
      </c>
      <c r="B21" s="7">
        <v>999999</v>
      </c>
      <c r="C21" s="7"/>
      <c r="D21" s="7" t="s">
        <v>17</v>
      </c>
      <c r="E21" s="7"/>
      <c r="F21" s="8">
        <v>44439</v>
      </c>
      <c r="G21" s="7"/>
      <c r="H21" s="7">
        <v>3.4834599999999997E-4</v>
      </c>
      <c r="I21" s="3"/>
      <c r="J21" s="3">
        <v>4.4400000000000004</v>
      </c>
      <c r="K21" s="3"/>
    </row>
    <row r="22" spans="1:11" s="314" customFormat="1" x14ac:dyDescent="0.25">
      <c r="A22" s="6">
        <v>44012</v>
      </c>
      <c r="B22" s="7">
        <v>999999</v>
      </c>
      <c r="C22" s="7"/>
      <c r="D22" s="7" t="s">
        <v>17</v>
      </c>
      <c r="E22" s="7"/>
      <c r="F22" s="8">
        <v>49052</v>
      </c>
      <c r="G22" s="7"/>
      <c r="H22" s="7">
        <v>3.7250599999999999E-4</v>
      </c>
      <c r="I22" s="3"/>
      <c r="J22" s="3">
        <v>4.34</v>
      </c>
      <c r="K22" s="3"/>
    </row>
    <row r="23" spans="1:11" s="323" customFormat="1" x14ac:dyDescent="0.25">
      <c r="A23" s="6">
        <v>44377</v>
      </c>
      <c r="B23" s="7">
        <v>999999</v>
      </c>
      <c r="C23" s="7"/>
      <c r="D23" s="7" t="s">
        <v>17</v>
      </c>
      <c r="E23" s="7"/>
      <c r="F23" s="8">
        <v>53492</v>
      </c>
      <c r="G23" s="7"/>
      <c r="H23" s="370">
        <v>3.9285999999999998E-4</v>
      </c>
      <c r="I23" s="3"/>
      <c r="J23" s="3">
        <v>4.25</v>
      </c>
      <c r="K23" s="3"/>
    </row>
    <row r="24" spans="1:11" s="330" customFormat="1" x14ac:dyDescent="0.25">
      <c r="A24" s="6">
        <v>44742</v>
      </c>
      <c r="B24" s="7">
        <v>999999</v>
      </c>
      <c r="C24" s="7"/>
      <c r="D24" s="7" t="s">
        <v>17</v>
      </c>
      <c r="E24" s="7"/>
      <c r="F24" s="8">
        <v>59472</v>
      </c>
      <c r="G24" s="7"/>
      <c r="H24" s="370">
        <v>4.1510000000000001E-4</v>
      </c>
      <c r="I24" s="3"/>
      <c r="J24" s="3">
        <v>4.3899999999999997</v>
      </c>
      <c r="K24" s="3"/>
    </row>
    <row r="25" spans="1:11" s="335" customFormat="1" x14ac:dyDescent="0.25">
      <c r="A25" s="6">
        <v>45107</v>
      </c>
      <c r="B25" s="7">
        <v>999999</v>
      </c>
      <c r="C25" s="7"/>
      <c r="D25" s="7" t="s">
        <v>17</v>
      </c>
      <c r="E25" s="7"/>
      <c r="F25" s="8">
        <v>60478</v>
      </c>
      <c r="G25" s="7"/>
      <c r="H25" s="370">
        <v>3.9078000000000002E-4</v>
      </c>
      <c r="I25" s="3"/>
      <c r="J25" s="3">
        <v>4.33</v>
      </c>
      <c r="K25" s="3"/>
    </row>
    <row r="26" spans="1:11" s="345" customFormat="1" x14ac:dyDescent="0.25">
      <c r="A26" s="6">
        <v>45473</v>
      </c>
      <c r="B26" s="7">
        <v>999999</v>
      </c>
      <c r="C26" s="7"/>
      <c r="D26" s="7" t="s">
        <v>17</v>
      </c>
      <c r="E26" s="7"/>
      <c r="F26" s="8">
        <v>55262</v>
      </c>
      <c r="G26" s="7"/>
      <c r="H26" s="370">
        <v>3.2830000000000001E-4</v>
      </c>
      <c r="I26" s="3"/>
      <c r="J26" s="3">
        <v>4.28</v>
      </c>
      <c r="K26" s="3"/>
    </row>
    <row r="27" spans="1:11" x14ac:dyDescent="0.25">
      <c r="A27" s="6">
        <v>45838</v>
      </c>
      <c r="B27" s="7">
        <v>999999</v>
      </c>
      <c r="C27" s="7"/>
      <c r="D27" s="7" t="s">
        <v>17</v>
      </c>
      <c r="E27" s="7"/>
      <c r="F27" s="8">
        <v>54477</v>
      </c>
      <c r="G27" s="7"/>
      <c r="H27" s="370">
        <v>3.0516000000000001E-4</v>
      </c>
      <c r="I27" s="3"/>
      <c r="J27" s="3">
        <v>4.29</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777</v>
      </c>
    </row>
    <row r="33" spans="1:12" ht="6.75" customHeight="1" thickBot="1" x14ac:dyDescent="0.3">
      <c r="H33" s="313"/>
    </row>
    <row r="34" spans="1:12" x14ac:dyDescent="0.25">
      <c r="A34" s="10"/>
      <c r="B34" s="11"/>
      <c r="C34" s="11"/>
      <c r="D34" s="11"/>
      <c r="E34" s="11"/>
      <c r="F34" s="11"/>
      <c r="G34" s="11"/>
      <c r="H34" s="320">
        <v>45473</v>
      </c>
      <c r="I34" s="360"/>
      <c r="J34" s="12">
        <v>45838</v>
      </c>
    </row>
    <row r="35" spans="1:12" x14ac:dyDescent="0.25">
      <c r="A35" s="399" t="s">
        <v>22</v>
      </c>
      <c r="B35" s="400"/>
      <c r="C35" s="400"/>
      <c r="D35" s="400"/>
      <c r="E35" s="400"/>
      <c r="F35" s="400"/>
      <c r="G35" s="334"/>
      <c r="H35" s="14">
        <v>594061081</v>
      </c>
      <c r="I35" s="14"/>
      <c r="J35" s="15">
        <v>705588304</v>
      </c>
      <c r="K35" s="16"/>
    </row>
    <row r="36" spans="1:12" x14ac:dyDescent="0.25">
      <c r="A36" s="399" t="s">
        <v>23</v>
      </c>
      <c r="B36" s="400"/>
      <c r="C36" s="400"/>
      <c r="D36" s="400"/>
      <c r="E36" s="400"/>
      <c r="F36" s="400"/>
      <c r="G36" s="334"/>
      <c r="H36" s="14">
        <v>508723896</v>
      </c>
      <c r="I36" s="14"/>
      <c r="J36" s="15">
        <v>451462251</v>
      </c>
      <c r="K36" s="16"/>
    </row>
    <row r="37" spans="1:12" x14ac:dyDescent="0.25">
      <c r="A37" s="401" t="s">
        <v>24</v>
      </c>
      <c r="B37" s="402"/>
      <c r="C37" s="402"/>
      <c r="D37" s="402"/>
      <c r="E37" s="402"/>
      <c r="F37" s="402"/>
      <c r="G37" s="334"/>
      <c r="H37" s="14">
        <v>-4047977</v>
      </c>
      <c r="I37" s="14"/>
      <c r="J37" s="15">
        <v>-8505183</v>
      </c>
      <c r="K37" s="16"/>
    </row>
    <row r="38" spans="1:12" ht="15.6" thickBot="1" x14ac:dyDescent="0.3">
      <c r="A38" s="395" t="s">
        <v>25</v>
      </c>
      <c r="B38" s="396"/>
      <c r="C38" s="396"/>
      <c r="D38" s="396"/>
      <c r="E38" s="396"/>
      <c r="F38" s="396"/>
      <c r="G38" s="336"/>
      <c r="H38" s="203">
        <f>H26</f>
        <v>3.2830000000000001E-4</v>
      </c>
      <c r="I38" s="18"/>
      <c r="J38" s="205">
        <f>H27</f>
        <v>3.0516000000000001E-4</v>
      </c>
      <c r="K38" s="16"/>
    </row>
    <row r="39" spans="1:12" ht="15.6" thickBot="1" x14ac:dyDescent="0.3">
      <c r="A39" s="13"/>
      <c r="B39" s="13"/>
      <c r="C39" s="13"/>
      <c r="D39" s="13"/>
      <c r="E39" s="13"/>
      <c r="F39" s="13"/>
      <c r="G39" s="13"/>
      <c r="H39" s="14"/>
      <c r="I39" s="14"/>
      <c r="J39" s="19"/>
      <c r="K39" s="16"/>
    </row>
    <row r="40" spans="1:12" x14ac:dyDescent="0.25">
      <c r="A40" s="403"/>
      <c r="B40" s="404"/>
      <c r="C40" s="404"/>
      <c r="D40" s="404"/>
      <c r="E40" s="404"/>
      <c r="F40" s="404"/>
      <c r="G40" s="11"/>
      <c r="H40" s="321">
        <v>45473</v>
      </c>
      <c r="I40" s="11"/>
      <c r="J40" s="243">
        <v>45838</v>
      </c>
      <c r="K40" s="16"/>
    </row>
    <row r="41" spans="1:12" x14ac:dyDescent="0.25">
      <c r="A41" s="399" t="s">
        <v>778</v>
      </c>
      <c r="B41" s="400"/>
      <c r="C41" s="400"/>
      <c r="D41" s="400"/>
      <c r="E41" s="400"/>
      <c r="F41" s="400"/>
      <c r="G41" s="360"/>
      <c r="H41" s="322">
        <v>107928328</v>
      </c>
      <c r="I41" s="360"/>
      <c r="J41" s="244">
        <v>-173562377</v>
      </c>
      <c r="K41" s="16"/>
    </row>
    <row r="42" spans="1:12" x14ac:dyDescent="0.25">
      <c r="A42" s="362" t="s">
        <v>828</v>
      </c>
      <c r="B42" s="363"/>
      <c r="C42" s="363"/>
      <c r="D42" s="363"/>
      <c r="E42" s="363"/>
      <c r="F42" s="363"/>
      <c r="G42" s="360"/>
      <c r="H42" s="322">
        <v>168329948</v>
      </c>
      <c r="I42" s="360"/>
      <c r="J42" s="244">
        <v>178517209</v>
      </c>
      <c r="K42" s="16"/>
    </row>
    <row r="43" spans="1:12" x14ac:dyDescent="0.25">
      <c r="A43" s="327" t="s">
        <v>829</v>
      </c>
      <c r="B43" s="363"/>
      <c r="C43" s="363"/>
      <c r="D43" s="363"/>
      <c r="E43" s="363"/>
      <c r="F43" s="363"/>
      <c r="G43" s="360"/>
      <c r="H43" s="368">
        <f>SUM(H41:H42)</f>
        <v>276258276</v>
      </c>
      <c r="I43" s="360"/>
      <c r="J43" s="245">
        <f>SUM(J41:J42)</f>
        <v>4954832</v>
      </c>
      <c r="K43" s="16"/>
    </row>
    <row r="44" spans="1:12" ht="15.6" thickBot="1" x14ac:dyDescent="0.3">
      <c r="A44" s="395" t="s">
        <v>25</v>
      </c>
      <c r="B44" s="396"/>
      <c r="C44" s="396"/>
      <c r="D44" s="396"/>
      <c r="E44" s="396"/>
      <c r="F44" s="396"/>
      <c r="G44" s="361"/>
      <c r="H44" s="203">
        <f>H26</f>
        <v>3.2830000000000001E-4</v>
      </c>
      <c r="I44" s="18"/>
      <c r="J44" s="246">
        <f>H27</f>
        <v>3.0516000000000001E-4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97" t="s">
        <v>309</v>
      </c>
      <c r="K48" s="398"/>
      <c r="L48" s="13"/>
    </row>
    <row r="49" spans="1:12" ht="15.75" customHeight="1" x14ac:dyDescent="0.25">
      <c r="A49" s="145"/>
      <c r="B49" s="146"/>
      <c r="C49" s="146"/>
      <c r="D49" s="146"/>
      <c r="E49" s="146"/>
      <c r="F49" s="23" t="s">
        <v>893</v>
      </c>
      <c r="G49" s="23"/>
      <c r="H49" s="23" t="s">
        <v>922</v>
      </c>
      <c r="I49" s="146"/>
      <c r="J49" s="376" t="s">
        <v>32</v>
      </c>
      <c r="K49" s="377"/>
      <c r="L49" s="13"/>
    </row>
    <row r="50" spans="1:12" ht="15.75" customHeight="1" x14ac:dyDescent="0.25">
      <c r="A50" s="145" t="s">
        <v>29</v>
      </c>
      <c r="B50" s="146"/>
      <c r="C50" s="146"/>
      <c r="D50" s="146"/>
      <c r="E50" s="146"/>
      <c r="F50" s="299">
        <f>H38</f>
        <v>3.2830000000000001E-4</v>
      </c>
      <c r="G50" s="23"/>
      <c r="H50" s="300">
        <f>J38</f>
        <v>3.0516000000000001E-4</v>
      </c>
      <c r="I50" s="146"/>
      <c r="J50" s="23" t="s">
        <v>303</v>
      </c>
      <c r="K50" s="155" t="s">
        <v>304</v>
      </c>
      <c r="L50" s="13"/>
    </row>
    <row r="51" spans="1:12" ht="15" customHeight="1" x14ac:dyDescent="0.25">
      <c r="A51" s="156" t="s">
        <v>31</v>
      </c>
      <c r="B51" s="152"/>
      <c r="C51" s="152"/>
      <c r="D51" s="152"/>
      <c r="E51" s="152"/>
      <c r="F51" s="23" t="s">
        <v>47</v>
      </c>
      <c r="G51" s="23"/>
      <c r="H51" s="27" t="s">
        <v>48</v>
      </c>
      <c r="I51" s="146"/>
      <c r="J51" s="23" t="s">
        <v>306</v>
      </c>
      <c r="K51" s="24" t="s">
        <v>306</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99" t="s">
        <v>75</v>
      </c>
      <c r="B53" s="400"/>
      <c r="C53" s="400"/>
      <c r="D53" s="400"/>
      <c r="E53" s="151"/>
      <c r="F53" s="206">
        <f>-H37*H38</f>
        <v>1328.9508491000001</v>
      </c>
      <c r="G53" s="207"/>
      <c r="H53" s="247">
        <f>-J37*J38</f>
        <v>2595.4416442800002</v>
      </c>
      <c r="I53" s="208"/>
      <c r="J53" s="209">
        <f>H53-F53</f>
        <v>1266.4907951800001</v>
      </c>
      <c r="K53" s="319"/>
      <c r="L53" s="146"/>
    </row>
    <row r="54" spans="1:12" x14ac:dyDescent="0.25">
      <c r="A54" s="378" t="s">
        <v>307</v>
      </c>
      <c r="B54" s="379"/>
      <c r="C54" s="379"/>
      <c r="D54" s="379"/>
      <c r="E54" s="146"/>
      <c r="F54" s="210">
        <f>H38*H35</f>
        <v>195030.25289230002</v>
      </c>
      <c r="G54" s="208"/>
      <c r="H54" s="210">
        <f>J38*J35</f>
        <v>215317.32684864002</v>
      </c>
      <c r="I54" s="208"/>
      <c r="J54" s="210">
        <f>H54-F54</f>
        <v>20287.073956339998</v>
      </c>
      <c r="K54" s="211"/>
      <c r="L54" s="13"/>
    </row>
    <row r="55" spans="1:12" s="147" customFormat="1" x14ac:dyDescent="0.25">
      <c r="A55" s="378" t="s">
        <v>305</v>
      </c>
      <c r="B55" s="379"/>
      <c r="C55" s="379"/>
      <c r="D55" s="379"/>
      <c r="E55" s="146"/>
      <c r="F55" s="210"/>
      <c r="G55" s="208"/>
      <c r="H55" s="210"/>
      <c r="I55" s="208"/>
      <c r="J55" s="210"/>
      <c r="K55" s="211">
        <f>H55-F55</f>
        <v>0</v>
      </c>
      <c r="L55" s="146"/>
    </row>
    <row r="56" spans="1:12" x14ac:dyDescent="0.25">
      <c r="A56" s="378" t="s">
        <v>308</v>
      </c>
      <c r="B56" s="379"/>
      <c r="C56" s="379"/>
      <c r="D56" s="379"/>
      <c r="E56" s="146"/>
      <c r="F56" s="210">
        <f>H38*H36</f>
        <v>167014.05505680002</v>
      </c>
      <c r="G56" s="208"/>
      <c r="H56" s="210">
        <f>J38*J36</f>
        <v>137768.22051516001</v>
      </c>
      <c r="I56" s="208"/>
      <c r="J56" s="208"/>
      <c r="K56" s="211">
        <f>H56-F56</f>
        <v>-29245.834541640012</v>
      </c>
      <c r="L56" s="13"/>
    </row>
    <row r="57" spans="1:12" ht="16.5" customHeight="1" thickBot="1" x14ac:dyDescent="0.3">
      <c r="A57" s="395"/>
      <c r="B57" s="396"/>
      <c r="C57" s="396"/>
      <c r="D57" s="396"/>
      <c r="E57" s="149"/>
      <c r="F57" s="212"/>
      <c r="G57" s="213"/>
      <c r="H57" s="212"/>
      <c r="I57" s="213"/>
      <c r="J57" s="212"/>
      <c r="K57" s="214"/>
      <c r="L57" s="13"/>
    </row>
    <row r="58" spans="1:12" ht="15.6" thickBot="1" x14ac:dyDescent="0.3">
      <c r="A58" s="408"/>
      <c r="B58" s="408"/>
      <c r="C58" s="408"/>
      <c r="D58" s="408"/>
      <c r="E58" s="408"/>
      <c r="F58" s="408"/>
    </row>
    <row r="59" spans="1:12" x14ac:dyDescent="0.25">
      <c r="B59" s="159" t="s">
        <v>923</v>
      </c>
      <c r="C59" s="11"/>
      <c r="D59" s="11"/>
      <c r="E59" s="11"/>
      <c r="F59" s="11"/>
      <c r="G59" s="11"/>
      <c r="H59" s="11"/>
      <c r="I59" s="11"/>
      <c r="J59" s="11"/>
      <c r="K59" s="30"/>
    </row>
    <row r="60" spans="1:12" ht="15.6" x14ac:dyDescent="0.3">
      <c r="B60" s="145"/>
      <c r="C60" s="146"/>
      <c r="D60" s="146"/>
      <c r="E60" s="146"/>
      <c r="F60" s="146"/>
      <c r="G60" s="146"/>
      <c r="H60" s="28"/>
      <c r="I60" s="31"/>
      <c r="J60" s="32">
        <v>45838</v>
      </c>
      <c r="K60" s="157"/>
    </row>
    <row r="61" spans="1:12" ht="15.6" x14ac:dyDescent="0.3">
      <c r="B61" s="150" t="s">
        <v>778</v>
      </c>
      <c r="C61" s="146"/>
      <c r="D61" s="146"/>
      <c r="E61" s="146"/>
      <c r="F61" s="146"/>
      <c r="G61" s="146"/>
      <c r="H61" s="28"/>
      <c r="I61" s="31"/>
      <c r="J61" s="209">
        <f>J44*J41</f>
        <v>-52964.294965320005</v>
      </c>
      <c r="K61" s="157"/>
    </row>
    <row r="62" spans="1:12" ht="15.6" x14ac:dyDescent="0.3">
      <c r="B62" s="286" t="s">
        <v>828</v>
      </c>
      <c r="C62" s="146"/>
      <c r="D62" s="146"/>
      <c r="E62" s="146"/>
      <c r="F62" s="146"/>
      <c r="G62" s="146"/>
      <c r="H62" s="28"/>
      <c r="I62" s="31"/>
      <c r="J62" s="215">
        <f>J44*J42</f>
        <v>54476.311498440002</v>
      </c>
      <c r="K62" s="157"/>
    </row>
    <row r="63" spans="1:12" ht="16.2" thickBot="1" x14ac:dyDescent="0.35">
      <c r="B63" s="238" t="s">
        <v>829</v>
      </c>
      <c r="C63" s="33"/>
      <c r="D63" s="33"/>
      <c r="E63" s="33"/>
      <c r="F63" s="33"/>
      <c r="G63" s="33"/>
      <c r="H63" s="29"/>
      <c r="I63" s="34"/>
      <c r="J63" s="216">
        <f>SUM(J61:J62)</f>
        <v>1512.0165331199969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779</v>
      </c>
    </row>
    <row r="67" spans="1:6" ht="15.6" x14ac:dyDescent="0.3">
      <c r="B67" s="36"/>
    </row>
    <row r="68" spans="1:6" ht="15.6" x14ac:dyDescent="0.3">
      <c r="B68" s="2" t="s">
        <v>35</v>
      </c>
    </row>
    <row r="69" spans="1:6" x14ac:dyDescent="0.25">
      <c r="D69" s="2" t="s">
        <v>920</v>
      </c>
    </row>
    <row r="70" spans="1:6" ht="15.6" x14ac:dyDescent="0.3">
      <c r="D70" s="36" t="s">
        <v>921</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405" t="s">
        <v>40</v>
      </c>
      <c r="D79" s="406"/>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97" t="s">
        <v>315</v>
      </c>
      <c r="L84" s="398"/>
    </row>
    <row r="85" spans="2:12" x14ac:dyDescent="0.25">
      <c r="B85" s="145"/>
      <c r="C85" s="146"/>
      <c r="D85" s="146"/>
      <c r="E85" s="146"/>
      <c r="F85" s="23" t="s">
        <v>44</v>
      </c>
      <c r="G85" s="23"/>
      <c r="H85" s="23" t="s">
        <v>45</v>
      </c>
      <c r="I85" s="23"/>
      <c r="J85" s="23" t="s">
        <v>45</v>
      </c>
      <c r="K85" s="387" t="s">
        <v>316</v>
      </c>
      <c r="L85" s="388"/>
    </row>
    <row r="86" spans="2:12" x14ac:dyDescent="0.25">
      <c r="B86" s="145"/>
      <c r="C86" s="146"/>
      <c r="D86" s="146"/>
      <c r="E86" s="146"/>
      <c r="F86" s="23" t="s">
        <v>46</v>
      </c>
      <c r="G86" s="23"/>
      <c r="H86" s="301">
        <f>H44</f>
        <v>3.2830000000000001E-4</v>
      </c>
      <c r="I86" s="23"/>
      <c r="J86" s="302">
        <f>J44</f>
        <v>3.0516000000000001E-4</v>
      </c>
      <c r="K86" s="23" t="s">
        <v>303</v>
      </c>
      <c r="L86" s="24" t="s">
        <v>304</v>
      </c>
    </row>
    <row r="87" spans="2:12" x14ac:dyDescent="0.25">
      <c r="B87" s="145"/>
      <c r="C87" s="146"/>
      <c r="D87" s="146"/>
      <c r="E87" s="146"/>
      <c r="F87" s="32">
        <v>45473</v>
      </c>
      <c r="G87" s="39"/>
      <c r="H87" s="39" t="s">
        <v>47</v>
      </c>
      <c r="I87" s="39"/>
      <c r="J87" s="39" t="s">
        <v>48</v>
      </c>
      <c r="K87" s="39" t="s">
        <v>306</v>
      </c>
      <c r="L87" s="25" t="s">
        <v>306</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78" t="s">
        <v>307</v>
      </c>
      <c r="C90" s="379"/>
      <c r="D90" s="379"/>
      <c r="E90" s="146"/>
      <c r="F90" s="219">
        <f>H35</f>
        <v>594061081</v>
      </c>
      <c r="G90" s="219"/>
      <c r="H90" s="219">
        <f>H86*F90</f>
        <v>195030.25289230002</v>
      </c>
      <c r="I90" s="219"/>
      <c r="J90" s="219">
        <f>J86*F90</f>
        <v>181283.67947796002</v>
      </c>
      <c r="K90" s="219">
        <f>J90-H90</f>
        <v>-13746.573414340004</v>
      </c>
      <c r="L90" s="220"/>
    </row>
    <row r="91" spans="2:12" x14ac:dyDescent="0.25">
      <c r="B91" s="378" t="s">
        <v>845</v>
      </c>
      <c r="C91" s="379"/>
      <c r="D91" s="379"/>
      <c r="E91" s="146"/>
      <c r="F91" s="219">
        <f>H37</f>
        <v>-4047977</v>
      </c>
      <c r="G91" s="219"/>
      <c r="H91" s="219">
        <f>H86*F91</f>
        <v>-1328.9508491000001</v>
      </c>
      <c r="I91" s="219"/>
      <c r="J91" s="219">
        <f>J86*F91</f>
        <v>-1235.28066132</v>
      </c>
      <c r="K91" s="219"/>
      <c r="L91" s="220">
        <f>J91-H91</f>
        <v>93.670187780000106</v>
      </c>
    </row>
    <row r="92" spans="2:12" x14ac:dyDescent="0.25">
      <c r="B92" s="378" t="s">
        <v>308</v>
      </c>
      <c r="C92" s="379"/>
      <c r="D92" s="379"/>
      <c r="E92" s="146"/>
      <c r="F92" s="219">
        <f>H36</f>
        <v>508723896</v>
      </c>
      <c r="G92" s="219"/>
      <c r="H92" s="219">
        <f>H86*F92</f>
        <v>167014.05505680002</v>
      </c>
      <c r="I92" s="219"/>
      <c r="J92" s="219">
        <f>J86*F92</f>
        <v>155242.18410335999</v>
      </c>
      <c r="K92" s="219"/>
      <c r="L92" s="220">
        <f>J92-H92</f>
        <v>-11771.870953440026</v>
      </c>
    </row>
    <row r="93" spans="2:12" s="147" customFormat="1" x14ac:dyDescent="0.25">
      <c r="B93" s="145"/>
      <c r="C93" s="146"/>
      <c r="D93" s="146"/>
      <c r="E93" s="146"/>
      <c r="F93" s="14"/>
      <c r="G93" s="14"/>
      <c r="H93" s="160" t="s">
        <v>310</v>
      </c>
      <c r="I93" s="14"/>
      <c r="J93" s="14"/>
      <c r="K93" s="202">
        <f>SUM(K89:K92)</f>
        <v>-13746.573414340004</v>
      </c>
      <c r="L93" s="204">
        <f>SUM(L89:L92)</f>
        <v>-11678.200765660025</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407" t="s">
        <v>49</v>
      </c>
      <c r="G95" s="407"/>
      <c r="H95" s="407"/>
      <c r="I95" s="407"/>
      <c r="J95" s="407"/>
      <c r="K95" s="221">
        <f>IF(L93&gt;K93,L93-K93,0)</f>
        <v>2068.3726486799787</v>
      </c>
      <c r="L95" s="222">
        <f>IF(K93&gt;L93,K93-L93,0)</f>
        <v>0</v>
      </c>
    </row>
    <row r="96" spans="2:12" ht="7.5" customHeight="1" x14ac:dyDescent="0.25"/>
    <row r="97" spans="2:12" x14ac:dyDescent="0.25">
      <c r="D97" s="2" t="s">
        <v>311</v>
      </c>
      <c r="I97" s="41" t="s">
        <v>50</v>
      </c>
      <c r="J97" s="223">
        <f>IF(K95&gt;0,K95/J27,-L95/J27)</f>
        <v>482.13814654544956</v>
      </c>
    </row>
    <row r="98" spans="2:12" x14ac:dyDescent="0.25">
      <c r="D98" s="2" t="s">
        <v>51</v>
      </c>
      <c r="I98" s="41" t="s">
        <v>50</v>
      </c>
      <c r="J98" s="223">
        <f>IF(J97&gt;0,K95-J97,-L95-J97)</f>
        <v>1586.2345021345291</v>
      </c>
    </row>
    <row r="99" spans="2:12" ht="15.6" thickBot="1" x14ac:dyDescent="0.3"/>
    <row r="100" spans="2:12" ht="16.2" thickBot="1" x14ac:dyDescent="0.35">
      <c r="C100" s="374" t="s">
        <v>52</v>
      </c>
      <c r="D100" s="375"/>
      <c r="F100" s="42" t="s">
        <v>53</v>
      </c>
    </row>
    <row r="101" spans="2:12" x14ac:dyDescent="0.25">
      <c r="D101" s="2" t="s">
        <v>54</v>
      </c>
    </row>
    <row r="102" spans="2:12" s="154" customFormat="1" ht="5.25" customHeight="1" x14ac:dyDescent="0.25"/>
    <row r="103" spans="2:12" ht="15.6" x14ac:dyDescent="0.3">
      <c r="C103" s="43" t="s">
        <v>55</v>
      </c>
      <c r="D103" s="2" t="s">
        <v>326</v>
      </c>
      <c r="E103" s="43"/>
    </row>
    <row r="104" spans="2:12" s="154" customFormat="1" ht="6" customHeight="1" x14ac:dyDescent="0.3">
      <c r="C104" s="43"/>
      <c r="E104" s="43"/>
    </row>
    <row r="105" spans="2:12" s="154" customFormat="1" ht="15.6" x14ac:dyDescent="0.3">
      <c r="B105" s="385" t="s">
        <v>927</v>
      </c>
      <c r="C105" s="385"/>
      <c r="D105" s="385"/>
      <c r="E105" s="385"/>
      <c r="F105" s="385"/>
      <c r="H105" s="226">
        <f>'Contributions &amp; Covered Payroll'!T23</f>
        <v>27238.5</v>
      </c>
      <c r="J105" s="386" t="s">
        <v>928</v>
      </c>
      <c r="K105" s="386"/>
      <c r="L105" s="386"/>
    </row>
    <row r="106" spans="2:12" s="154" customFormat="1" ht="8.25" customHeight="1" x14ac:dyDescent="0.3">
      <c r="C106" s="43"/>
      <c r="E106" s="43"/>
      <c r="H106" s="232"/>
    </row>
    <row r="107" spans="2:12" ht="15.75" customHeight="1" x14ac:dyDescent="0.3">
      <c r="B107" s="385" t="s">
        <v>929</v>
      </c>
      <c r="C107" s="385"/>
      <c r="D107" s="385"/>
      <c r="E107" s="385"/>
      <c r="F107" s="385"/>
      <c r="H107" s="226">
        <f>'Contributions &amp; Covered Payroll'!V15</f>
        <v>27238.5</v>
      </c>
      <c r="J107" s="386"/>
      <c r="K107" s="386"/>
      <c r="L107" s="386"/>
    </row>
    <row r="108" spans="2:12" ht="6.75" customHeight="1" x14ac:dyDescent="0.3">
      <c r="B108" s="44"/>
      <c r="C108" s="44"/>
      <c r="D108" s="44"/>
      <c r="E108" s="44"/>
      <c r="F108" s="44"/>
      <c r="H108" s="226"/>
      <c r="J108" s="36"/>
      <c r="K108" s="36"/>
      <c r="L108" s="36"/>
    </row>
    <row r="109" spans="2:12" ht="15.75" customHeight="1" x14ac:dyDescent="0.3">
      <c r="B109" s="385" t="s">
        <v>930</v>
      </c>
      <c r="C109" s="385"/>
      <c r="D109" s="385"/>
      <c r="E109" s="385"/>
      <c r="F109" s="385"/>
      <c r="H109" s="226">
        <f>'Contributions &amp; Covered Payroll'!V23</f>
        <v>27783.24</v>
      </c>
      <c r="J109" s="382" t="s">
        <v>56</v>
      </c>
      <c r="K109" s="382"/>
      <c r="L109" s="382"/>
    </row>
    <row r="110" spans="2:12" ht="15.6" x14ac:dyDescent="0.3">
      <c r="H110" s="382" t="s">
        <v>57</v>
      </c>
      <c r="I110" s="382"/>
      <c r="J110" s="382"/>
      <c r="K110" s="382"/>
      <c r="L110" s="382"/>
    </row>
    <row r="111" spans="2:12" ht="15.6" x14ac:dyDescent="0.3">
      <c r="D111" s="45"/>
      <c r="H111" s="382" t="s">
        <v>58</v>
      </c>
      <c r="I111" s="382"/>
      <c r="J111" s="382"/>
      <c r="K111" s="382"/>
      <c r="L111" s="382"/>
    </row>
    <row r="112" spans="2:12" ht="15.6" x14ac:dyDescent="0.3">
      <c r="H112" s="383" t="s">
        <v>59</v>
      </c>
      <c r="I112" s="383"/>
      <c r="J112" s="383"/>
      <c r="K112" s="383"/>
      <c r="L112" s="383"/>
    </row>
    <row r="113" spans="1:12" ht="15.6" x14ac:dyDescent="0.3">
      <c r="H113" s="46"/>
      <c r="I113" s="46"/>
      <c r="J113" s="46"/>
      <c r="K113" s="46"/>
      <c r="L113" s="46"/>
    </row>
    <row r="114" spans="1:12" x14ac:dyDescent="0.25">
      <c r="B114" s="74" t="s">
        <v>120</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3.0516000000000001E-4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78" t="s">
        <v>63</v>
      </c>
      <c r="C121" s="379"/>
      <c r="D121" s="379"/>
      <c r="E121" s="13"/>
      <c r="F121" s="224">
        <f>J42</f>
        <v>178517209</v>
      </c>
      <c r="G121" s="50"/>
      <c r="H121" s="224">
        <f>(F121*H118)</f>
        <v>54476.311498440002</v>
      </c>
      <c r="I121" s="50"/>
      <c r="J121" s="224">
        <f>H105+H107</f>
        <v>54477</v>
      </c>
      <c r="K121" s="225">
        <f>J121-ROUND(H121,2)</f>
        <v>0.69000000000232831</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384" t="s">
        <v>318</v>
      </c>
      <c r="E124" s="384"/>
      <c r="F124" s="384"/>
      <c r="G124" s="384"/>
      <c r="H124" s="384"/>
      <c r="I124" s="384"/>
      <c r="J124" s="384"/>
      <c r="K124" s="226">
        <f>K121/J27</f>
        <v>0.16083916083970357</v>
      </c>
      <c r="L124" s="16"/>
    </row>
    <row r="125" spans="1:12" x14ac:dyDescent="0.25">
      <c r="D125" s="384" t="s">
        <v>317</v>
      </c>
      <c r="E125" s="384"/>
      <c r="F125" s="384"/>
      <c r="G125" s="384"/>
      <c r="H125" s="384"/>
      <c r="I125" s="384"/>
      <c r="J125" s="384"/>
      <c r="K125" s="227">
        <f>K121-K124</f>
        <v>0.5291608391626248</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312</v>
      </c>
    </row>
    <row r="130" spans="1:11" x14ac:dyDescent="0.25">
      <c r="B130" s="26"/>
      <c r="C130" s="13"/>
      <c r="D130" s="13"/>
      <c r="E130" s="13"/>
      <c r="F130" s="13"/>
      <c r="G130" s="13"/>
      <c r="H130" s="23" t="s">
        <v>67</v>
      </c>
      <c r="I130" s="23"/>
      <c r="J130" s="24" t="s">
        <v>313</v>
      </c>
    </row>
    <row r="131" spans="1:11" x14ac:dyDescent="0.25">
      <c r="B131" s="26"/>
      <c r="C131" s="13"/>
      <c r="D131" s="13"/>
      <c r="E131" s="13"/>
      <c r="F131" s="13"/>
      <c r="G131" s="13"/>
      <c r="H131" s="23" t="s">
        <v>68</v>
      </c>
      <c r="I131" s="23"/>
      <c r="J131" s="24" t="s">
        <v>314</v>
      </c>
    </row>
    <row r="132" spans="1:11" ht="6.75" customHeight="1" x14ac:dyDescent="0.25">
      <c r="B132" s="26"/>
      <c r="C132" s="13"/>
      <c r="D132" s="13"/>
      <c r="E132" s="13"/>
      <c r="F132" s="13"/>
      <c r="G132" s="13"/>
      <c r="H132" s="13"/>
      <c r="I132" s="13"/>
      <c r="J132" s="53"/>
    </row>
    <row r="133" spans="1:11" ht="15.75" customHeight="1" x14ac:dyDescent="0.25">
      <c r="B133" s="380" t="s">
        <v>69</v>
      </c>
      <c r="C133" s="381"/>
      <c r="D133" s="381"/>
      <c r="E133" s="381"/>
      <c r="F133" s="381"/>
      <c r="G133" s="13"/>
      <c r="H133" s="228">
        <f>J98</f>
        <v>1586.2345021345291</v>
      </c>
      <c r="I133" s="228"/>
      <c r="J133" s="229">
        <f>J97</f>
        <v>482.13814654544956</v>
      </c>
    </row>
    <row r="134" spans="1:11" ht="15.75" customHeight="1" x14ac:dyDescent="0.3">
      <c r="B134" s="380" t="s">
        <v>70</v>
      </c>
      <c r="C134" s="381"/>
      <c r="D134" s="381"/>
      <c r="E134" s="381"/>
      <c r="F134" s="381"/>
      <c r="G134" s="13"/>
      <c r="H134" s="224">
        <v>0</v>
      </c>
      <c r="I134" s="228"/>
      <c r="J134" s="225">
        <v>0</v>
      </c>
      <c r="K134" s="153" t="s">
        <v>323</v>
      </c>
    </row>
    <row r="135" spans="1:11" ht="15.6" thickBot="1" x14ac:dyDescent="0.3">
      <c r="B135" s="380" t="s">
        <v>71</v>
      </c>
      <c r="C135" s="381"/>
      <c r="D135" s="381"/>
      <c r="E135" s="381"/>
      <c r="F135" s="381"/>
      <c r="G135" s="13"/>
      <c r="H135" s="230">
        <f>SUM(H133:H134)</f>
        <v>1586.2345021345291</v>
      </c>
      <c r="I135" s="228"/>
      <c r="J135" s="231">
        <f>SUM(J133:J134)</f>
        <v>482.13814654544956</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147</v>
      </c>
    </row>
    <row r="139" spans="1:11" s="144" customFormat="1" ht="15.6" x14ac:dyDescent="0.3">
      <c r="A139" s="163" t="s">
        <v>300</v>
      </c>
    </row>
    <row r="140" spans="1:11" s="144" customFormat="1" ht="15.6" x14ac:dyDescent="0.3">
      <c r="A140" s="163" t="s">
        <v>301</v>
      </c>
      <c r="H140" s="4" t="s">
        <v>73</v>
      </c>
      <c r="I140" s="4"/>
      <c r="J140" s="4" t="s">
        <v>74</v>
      </c>
    </row>
    <row r="141" spans="1:11" s="1" customFormat="1" ht="5.25" customHeight="1" x14ac:dyDescent="0.3"/>
    <row r="142" spans="1:11" ht="15" customHeight="1" x14ac:dyDescent="0.25">
      <c r="A142" s="2" t="s">
        <v>75</v>
      </c>
      <c r="H142" s="280">
        <f>F53</f>
        <v>1328.9508491000001</v>
      </c>
      <c r="I142" s="280"/>
      <c r="J142" s="280"/>
    </row>
    <row r="143" spans="1:11" ht="15" customHeight="1" x14ac:dyDescent="0.25">
      <c r="A143" s="2" t="s">
        <v>76</v>
      </c>
      <c r="H143" s="280">
        <f>F54</f>
        <v>195030.25289230002</v>
      </c>
      <c r="I143" s="280"/>
      <c r="J143" s="280"/>
    </row>
    <row r="144" spans="1:11" s="154" customFormat="1" ht="15" customHeight="1" x14ac:dyDescent="0.25">
      <c r="A144" s="154" t="s">
        <v>319</v>
      </c>
      <c r="H144" s="280"/>
      <c r="I144" s="280"/>
      <c r="J144" s="280">
        <f>F55</f>
        <v>0</v>
      </c>
    </row>
    <row r="145" spans="1:10" ht="15" customHeight="1" x14ac:dyDescent="0.25">
      <c r="A145" s="2" t="s">
        <v>77</v>
      </c>
      <c r="H145" s="280"/>
      <c r="I145" s="280"/>
      <c r="J145" s="280">
        <f>F56</f>
        <v>167014.05505680002</v>
      </c>
    </row>
    <row r="146" spans="1:10" x14ac:dyDescent="0.25">
      <c r="A146" s="2" t="s">
        <v>78</v>
      </c>
      <c r="H146" s="280"/>
      <c r="I146" s="280"/>
      <c r="J146" s="280">
        <f>H142+H143-J144-J145</f>
        <v>29345.14868459999</v>
      </c>
    </row>
    <row r="147" spans="1:10" ht="5.25" customHeight="1" x14ac:dyDescent="0.25">
      <c r="H147" s="284"/>
      <c r="I147" s="284"/>
      <c r="J147" s="284"/>
    </row>
    <row r="148" spans="1:10" ht="13.5" customHeight="1" x14ac:dyDescent="0.25">
      <c r="A148" s="2" t="s">
        <v>148</v>
      </c>
      <c r="H148" s="284"/>
      <c r="I148" s="284"/>
      <c r="J148" s="284"/>
    </row>
    <row r="149" spans="1:10" x14ac:dyDescent="0.25">
      <c r="H149" s="284"/>
      <c r="I149" s="284"/>
      <c r="J149" s="284"/>
    </row>
    <row r="150" spans="1:10" x14ac:dyDescent="0.25">
      <c r="A150" s="2" t="s">
        <v>896</v>
      </c>
      <c r="H150" s="280">
        <f>H105</f>
        <v>27238.5</v>
      </c>
      <c r="I150" s="280"/>
      <c r="J150" s="280"/>
    </row>
    <row r="151" spans="1:10" x14ac:dyDescent="0.25">
      <c r="A151" s="2" t="s">
        <v>79</v>
      </c>
      <c r="H151" s="280"/>
      <c r="I151" s="280"/>
      <c r="J151" s="280">
        <f>H150</f>
        <v>27238.5</v>
      </c>
    </row>
    <row r="152" spans="1:10" ht="4.5" customHeight="1" x14ac:dyDescent="0.25">
      <c r="H152" s="284"/>
      <c r="I152" s="284"/>
      <c r="J152" s="284"/>
    </row>
    <row r="153" spans="1:10" x14ac:dyDescent="0.25">
      <c r="A153" s="2" t="s">
        <v>80</v>
      </c>
      <c r="H153" s="284"/>
      <c r="I153" s="284"/>
      <c r="J153" s="284"/>
    </row>
    <row r="154" spans="1:10" x14ac:dyDescent="0.25">
      <c r="A154" s="2" t="s">
        <v>775</v>
      </c>
      <c r="H154" s="284"/>
      <c r="I154" s="284"/>
      <c r="J154" s="284"/>
    </row>
    <row r="155" spans="1:10" s="199" customFormat="1" x14ac:dyDescent="0.25">
      <c r="A155" s="199" t="s">
        <v>774</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12596.84</v>
      </c>
      <c r="I157" s="280"/>
      <c r="J157" s="280"/>
    </row>
    <row r="158" spans="1:10" s="282" customFormat="1" x14ac:dyDescent="0.25">
      <c r="A158" s="282" t="s">
        <v>87</v>
      </c>
      <c r="H158" s="281"/>
      <c r="I158" s="281"/>
      <c r="J158" s="280">
        <f>IF('Change in Proportionate Share'!M62&lt;0,-'Change in Proportionate Share'!M62,0)</f>
        <v>1369.58</v>
      </c>
    </row>
    <row r="159" spans="1:10" s="282" customFormat="1" x14ac:dyDescent="0.25">
      <c r="A159" s="282" t="s">
        <v>78</v>
      </c>
      <c r="H159" s="280">
        <f>IF(J158&gt;H157,J158-H157,0)</f>
        <v>0</v>
      </c>
      <c r="I159" s="281"/>
      <c r="J159" s="280">
        <f>IF(H157&gt;J158,H157-J158,0)</f>
        <v>11227.26</v>
      </c>
    </row>
    <row r="160" spans="1:10" s="282" customFormat="1" ht="7.5" customHeight="1" x14ac:dyDescent="0.25"/>
    <row r="161" spans="1:10" s="154" customFormat="1" x14ac:dyDescent="0.25">
      <c r="A161" s="154" t="s">
        <v>324</v>
      </c>
      <c r="H161" s="282"/>
      <c r="I161" s="282"/>
      <c r="J161" s="282"/>
    </row>
    <row r="162" spans="1:10" s="154" customFormat="1" x14ac:dyDescent="0.25">
      <c r="A162" s="154" t="s">
        <v>325</v>
      </c>
      <c r="H162" s="282"/>
      <c r="I162" s="282"/>
      <c r="J162" s="282"/>
    </row>
    <row r="163" spans="1:10" s="154" customFormat="1" ht="15.6" thickBot="1" x14ac:dyDescent="0.3">
      <c r="H163" s="282"/>
      <c r="I163" s="282"/>
      <c r="J163" s="282"/>
    </row>
    <row r="164" spans="1:10" s="1" customFormat="1" ht="16.2" thickBot="1" x14ac:dyDescent="0.35">
      <c r="A164" s="35" t="s">
        <v>81</v>
      </c>
      <c r="B164" s="1" t="s">
        <v>931</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4234.08</v>
      </c>
    </row>
    <row r="168" spans="1:10" s="282" customFormat="1" x14ac:dyDescent="0.25">
      <c r="A168" s="282" t="s">
        <v>86</v>
      </c>
      <c r="H168" s="280">
        <f>IF(J167+J169&gt;H167+H169,J167+J169-H167-H169,0)</f>
        <v>3248.7599999999998</v>
      </c>
      <c r="I168" s="280"/>
      <c r="J168" s="280">
        <f>IF(H167+H169&gt;J167+J169, H167+H169-J167-J169,0)</f>
        <v>0</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985.32</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791</v>
      </c>
      <c r="H172" s="282"/>
      <c r="I172" s="282"/>
      <c r="J172" s="282"/>
    </row>
    <row r="173" spans="1:10" s="166" customFormat="1" x14ac:dyDescent="0.25">
      <c r="H173" s="282"/>
      <c r="I173" s="282"/>
      <c r="J173" s="282"/>
    </row>
    <row r="174" spans="1:10" s="154" customFormat="1" ht="17.25" customHeight="1" x14ac:dyDescent="0.25">
      <c r="A174" s="154" t="s">
        <v>320</v>
      </c>
      <c r="H174" s="279">
        <f>IF(J53&gt;0,J53,0)</f>
        <v>1266.4907951800001</v>
      </c>
      <c r="I174" s="283"/>
      <c r="J174" s="279">
        <f>IF(J53&lt;0,-J53,0)</f>
        <v>0</v>
      </c>
    </row>
    <row r="175" spans="1:10" x14ac:dyDescent="0.25">
      <c r="A175" s="2" t="s">
        <v>82</v>
      </c>
      <c r="H175" s="279">
        <f>IF(J54&gt;0,J54,0)</f>
        <v>20287.073956339998</v>
      </c>
      <c r="I175" s="283"/>
      <c r="J175" s="279">
        <f>IF(J54&lt;0,-J54,0)</f>
        <v>0</v>
      </c>
    </row>
    <row r="176" spans="1:10" s="154" customFormat="1" x14ac:dyDescent="0.25">
      <c r="A176" s="154" t="s">
        <v>321</v>
      </c>
      <c r="H176" s="279">
        <f>IF(K55&lt;0,-K55,0)</f>
        <v>0</v>
      </c>
      <c r="I176" s="283"/>
      <c r="J176" s="279">
        <f>IF(K55&gt;0,K55,0)</f>
        <v>0</v>
      </c>
    </row>
    <row r="177" spans="1:10" x14ac:dyDescent="0.25">
      <c r="A177" s="2" t="s">
        <v>322</v>
      </c>
      <c r="H177" s="279">
        <f>IF(K56&lt;0,-K56,0)</f>
        <v>29245.834541640012</v>
      </c>
      <c r="I177" s="283"/>
      <c r="J177" s="279">
        <f>IF(K56&gt;0,K56,0)</f>
        <v>0</v>
      </c>
    </row>
    <row r="178" spans="1:10" x14ac:dyDescent="0.25">
      <c r="A178" s="2" t="s">
        <v>83</v>
      </c>
      <c r="H178" s="280">
        <f>IF(J61&gt;0,J61,0)</f>
        <v>0</v>
      </c>
      <c r="I178" s="280"/>
      <c r="J178" s="280">
        <f>IF(J61&lt;0,-J61,0)</f>
        <v>52964.294965320005</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776</v>
      </c>
      <c r="H181" s="282"/>
      <c r="I181" s="282"/>
      <c r="J181" s="282"/>
    </row>
    <row r="182" spans="1:10" s="364" customFormat="1" x14ac:dyDescent="0.25">
      <c r="A182" s="9"/>
      <c r="H182" s="282"/>
      <c r="I182" s="282"/>
      <c r="J182" s="282"/>
    </row>
    <row r="183" spans="1:10" s="282" customFormat="1" x14ac:dyDescent="0.25">
      <c r="A183" s="282" t="s">
        <v>85</v>
      </c>
      <c r="H183" s="280">
        <f>IF(H135&gt;0,H135,0)</f>
        <v>1586.2345021345291</v>
      </c>
      <c r="I183" s="280"/>
      <c r="J183" s="280"/>
    </row>
    <row r="184" spans="1:10" s="282" customFormat="1" x14ac:dyDescent="0.25">
      <c r="A184" s="282" t="s">
        <v>86</v>
      </c>
      <c r="H184" s="280">
        <f>IF(J135&gt;0,J135,0)</f>
        <v>482.13814654544956</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s="364" customFormat="1" x14ac:dyDescent="0.25">
      <c r="H190" s="282"/>
      <c r="I190" s="282"/>
      <c r="J190" s="282"/>
    </row>
    <row r="191" spans="1:10" s="364" customFormat="1" x14ac:dyDescent="0.25">
      <c r="A191" s="75" t="s">
        <v>936</v>
      </c>
      <c r="B191" s="75"/>
      <c r="C191" s="75"/>
      <c r="D191" s="75"/>
      <c r="E191" s="75"/>
      <c r="F191" s="75"/>
      <c r="H191" s="371">
        <f>-((SUM(H174:H184)-SUM(J174:J186)))</f>
        <v>96.52302348001831</v>
      </c>
      <c r="I191" s="282"/>
      <c r="J191" s="282"/>
    </row>
    <row r="192" spans="1:10" s="364" customFormat="1" ht="6.6" customHeight="1" x14ac:dyDescent="0.25">
      <c r="A192" s="75"/>
      <c r="B192" s="75"/>
      <c r="C192" s="75"/>
      <c r="D192" s="75"/>
      <c r="E192" s="75"/>
      <c r="F192" s="75"/>
      <c r="H192" s="282"/>
      <c r="I192" s="282"/>
      <c r="J192" s="282"/>
    </row>
    <row r="193" spans="1:10" s="364" customFormat="1" x14ac:dyDescent="0.25">
      <c r="A193" s="75" t="s">
        <v>937</v>
      </c>
      <c r="B193" s="75"/>
      <c r="C193" s="75"/>
      <c r="D193" s="75"/>
      <c r="E193" s="75"/>
      <c r="F193" s="75"/>
      <c r="H193" s="282"/>
      <c r="I193" s="282"/>
      <c r="J193" s="282"/>
    </row>
    <row r="194" spans="1:10" s="364" customFormat="1" x14ac:dyDescent="0.25">
      <c r="A194" s="75" t="s">
        <v>939</v>
      </c>
      <c r="B194" s="75"/>
      <c r="C194" s="75"/>
      <c r="D194" s="75"/>
      <c r="E194" s="75"/>
      <c r="F194" s="75"/>
      <c r="H194" s="282"/>
      <c r="I194" s="282"/>
      <c r="J194" s="282"/>
    </row>
    <row r="195" spans="1:10" s="364" customFormat="1" x14ac:dyDescent="0.25">
      <c r="A195" s="75" t="s">
        <v>938</v>
      </c>
      <c r="B195" s="75"/>
      <c r="C195" s="75"/>
      <c r="D195" s="75"/>
      <c r="E195" s="75"/>
      <c r="F195" s="75"/>
      <c r="H195" s="282"/>
      <c r="I195" s="282"/>
      <c r="J195" s="282"/>
    </row>
    <row r="196" spans="1:10" x14ac:dyDescent="0.25">
      <c r="H196" s="282"/>
      <c r="I196" s="282"/>
      <c r="J196" s="282"/>
    </row>
    <row r="197" spans="1:10" x14ac:dyDescent="0.25">
      <c r="A197" s="2" t="s">
        <v>932</v>
      </c>
      <c r="H197" s="280">
        <f>H105</f>
        <v>27238.5</v>
      </c>
      <c r="I197" s="280"/>
      <c r="J197" s="280"/>
    </row>
    <row r="198" spans="1:10" x14ac:dyDescent="0.25">
      <c r="A198" s="2" t="s">
        <v>933</v>
      </c>
      <c r="H198" s="280"/>
      <c r="I198" s="280"/>
      <c r="J198" s="280">
        <f>H197</f>
        <v>27238.5</v>
      </c>
    </row>
    <row r="199" spans="1:10" ht="4.5" customHeight="1" x14ac:dyDescent="0.25">
      <c r="H199" s="280"/>
      <c r="I199" s="280"/>
      <c r="J199" s="280"/>
    </row>
    <row r="200" spans="1:10" x14ac:dyDescent="0.25">
      <c r="A200" s="2" t="s">
        <v>91</v>
      </c>
      <c r="H200" s="280"/>
      <c r="I200" s="280"/>
      <c r="J200" s="280"/>
    </row>
    <row r="201" spans="1:10" x14ac:dyDescent="0.25">
      <c r="H201" s="281"/>
      <c r="I201" s="281"/>
      <c r="J201" s="281"/>
    </row>
    <row r="202" spans="1:10" x14ac:dyDescent="0.25">
      <c r="A202" s="2" t="s">
        <v>934</v>
      </c>
      <c r="H202" s="280">
        <f>H109</f>
        <v>27783.24</v>
      </c>
      <c r="I202" s="280"/>
      <c r="J202" s="280"/>
    </row>
    <row r="203" spans="1:10" x14ac:dyDescent="0.25">
      <c r="A203" s="2" t="s">
        <v>935</v>
      </c>
      <c r="H203" s="280"/>
      <c r="I203" s="280"/>
      <c r="J203" s="280">
        <f>H202</f>
        <v>27783.24</v>
      </c>
    </row>
    <row r="204" spans="1:10" ht="8.25" customHeight="1" x14ac:dyDescent="0.25">
      <c r="H204" s="16"/>
      <c r="I204" s="16"/>
      <c r="J204" s="16"/>
    </row>
    <row r="205" spans="1:10" x14ac:dyDescent="0.25">
      <c r="A205" s="2" t="s">
        <v>92</v>
      </c>
      <c r="H205" s="16"/>
      <c r="I205" s="16"/>
      <c r="J205" s="16"/>
    </row>
    <row r="206" spans="1:10" ht="15.6" thickBot="1" x14ac:dyDescent="0.3"/>
    <row r="207" spans="1:10" ht="16.2" thickBot="1" x14ac:dyDescent="0.35">
      <c r="A207" s="35" t="s">
        <v>93</v>
      </c>
      <c r="B207" s="2" t="s">
        <v>152</v>
      </c>
    </row>
    <row r="208" spans="1:10" ht="15.6" x14ac:dyDescent="0.3">
      <c r="A208" s="31"/>
      <c r="B208" s="1" t="s">
        <v>151</v>
      </c>
    </row>
    <row r="209" spans="2:2" x14ac:dyDescent="0.25">
      <c r="B209" s="75" t="s">
        <v>122</v>
      </c>
    </row>
    <row r="210" spans="2:2" x14ac:dyDescent="0.25">
      <c r="B210" s="55"/>
    </row>
  </sheetData>
  <mergeCells count="40">
    <mergeCell ref="A54:D54"/>
    <mergeCell ref="A55:D55"/>
    <mergeCell ref="J48:K48"/>
    <mergeCell ref="F95:J95"/>
    <mergeCell ref="B90:D90"/>
    <mergeCell ref="B91:D91"/>
    <mergeCell ref="B92:D92"/>
    <mergeCell ref="A58:F58"/>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topLeftCell="A38" zoomScaleNormal="100" workbookViewId="0">
      <selection activeCell="D21" sqref="D2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x14ac:dyDescent="0.3">
      <c r="A2" s="409" t="s">
        <v>123</v>
      </c>
      <c r="B2" s="409"/>
      <c r="C2" s="409"/>
      <c r="D2" s="409"/>
      <c r="E2" s="409"/>
    </row>
    <row r="4" spans="1:15" x14ac:dyDescent="0.3">
      <c r="B4" s="66" t="s">
        <v>124</v>
      </c>
    </row>
    <row r="5" spans="1:15" x14ac:dyDescent="0.3">
      <c r="A5" s="67" t="s">
        <v>125</v>
      </c>
      <c r="B5" s="67" t="s">
        <v>75</v>
      </c>
      <c r="C5" s="77">
        <f>Calculations!H142</f>
        <v>1328.9508491000001</v>
      </c>
      <c r="D5" s="78"/>
      <c r="E5" s="61" t="s">
        <v>126</v>
      </c>
    </row>
    <row r="6" spans="1:15" x14ac:dyDescent="0.3">
      <c r="B6" s="67" t="s">
        <v>127</v>
      </c>
      <c r="C6" s="77">
        <f>Calculations!H143+Calculations!H150+Calculations!H157</f>
        <v>234865.59289230002</v>
      </c>
      <c r="D6" s="78"/>
      <c r="E6" s="61" t="s">
        <v>126</v>
      </c>
    </row>
    <row r="7" spans="1:15" x14ac:dyDescent="0.3">
      <c r="B7" s="67" t="s">
        <v>327</v>
      </c>
      <c r="C7" s="77"/>
      <c r="D7" s="78">
        <f>Calculations!J144</f>
        <v>0</v>
      </c>
      <c r="E7" s="61" t="s">
        <v>126</v>
      </c>
    </row>
    <row r="8" spans="1:15" x14ac:dyDescent="0.3">
      <c r="A8" s="61" t="s">
        <v>155</v>
      </c>
      <c r="B8" s="67" t="s">
        <v>156</v>
      </c>
      <c r="C8" s="77"/>
      <c r="D8" s="78">
        <f>Calculations!J145+Calculations!J158</f>
        <v>168383.63505680001</v>
      </c>
      <c r="E8" s="61" t="s">
        <v>126</v>
      </c>
    </row>
    <row r="9" spans="1:15" x14ac:dyDescent="0.3">
      <c r="B9" s="67" t="s">
        <v>128</v>
      </c>
      <c r="C9" s="78"/>
      <c r="D9" s="77">
        <f>Calculations!J146+Calculations!J151+Calculations!J159-Calculations!H159</f>
        <v>67810.908684599985</v>
      </c>
      <c r="E9" s="61" t="s">
        <v>126</v>
      </c>
    </row>
    <row r="10" spans="1:15" ht="9" customHeight="1" x14ac:dyDescent="0.3">
      <c r="B10" s="67"/>
      <c r="C10" s="79"/>
      <c r="D10" s="79"/>
    </row>
    <row r="11" spans="1:15" x14ac:dyDescent="0.3">
      <c r="B11" s="67" t="s">
        <v>129</v>
      </c>
      <c r="C11" s="80"/>
      <c r="D11" s="77">
        <f>D9</f>
        <v>67810.908684599985</v>
      </c>
      <c r="E11" s="67" t="s">
        <v>130</v>
      </c>
    </row>
    <row r="12" spans="1:15" x14ac:dyDescent="0.3">
      <c r="B12" s="67"/>
      <c r="C12" s="80"/>
      <c r="D12" s="80"/>
      <c r="E12" s="67"/>
    </row>
    <row r="13" spans="1:15" x14ac:dyDescent="0.3">
      <c r="A13" s="67" t="s">
        <v>131</v>
      </c>
      <c r="B13" s="67"/>
      <c r="C13" s="67"/>
      <c r="D13" s="67"/>
      <c r="E13" s="67"/>
    </row>
    <row r="14" spans="1:15" x14ac:dyDescent="0.3">
      <c r="A14" s="67"/>
      <c r="B14" s="67"/>
      <c r="C14" s="67"/>
      <c r="D14" s="67"/>
      <c r="E14" s="67"/>
    </row>
    <row r="15" spans="1:15" x14ac:dyDescent="0.3">
      <c r="B15" s="66" t="s">
        <v>132</v>
      </c>
      <c r="C15" s="67"/>
      <c r="D15" s="67"/>
      <c r="E15" s="67"/>
    </row>
    <row r="16" spans="1:15" x14ac:dyDescent="0.3">
      <c r="A16" s="61" t="s">
        <v>133</v>
      </c>
      <c r="B16" s="61" t="s">
        <v>75</v>
      </c>
      <c r="C16" s="78">
        <f>Calculations!H174</f>
        <v>1266.4907951800001</v>
      </c>
      <c r="D16" s="78">
        <f>Calculations!J174</f>
        <v>0</v>
      </c>
      <c r="E16" s="61" t="s">
        <v>126</v>
      </c>
    </row>
    <row r="17" spans="1:11" x14ac:dyDescent="0.3">
      <c r="A17" s="67"/>
      <c r="B17" s="61" t="s">
        <v>127</v>
      </c>
      <c r="C17" s="341">
        <f>Calculations!H175+Calculations!H183+Calculations!H167-Calculations!J167</f>
        <v>17639.228458474528</v>
      </c>
      <c r="D17" s="78">
        <f>Calculations!J175</f>
        <v>0</v>
      </c>
      <c r="E17" s="61" t="s">
        <v>126</v>
      </c>
    </row>
    <row r="18" spans="1:11" x14ac:dyDescent="0.3">
      <c r="B18" s="61" t="s">
        <v>328</v>
      </c>
      <c r="C18" s="78">
        <f>Calculations!H176</f>
        <v>0</v>
      </c>
      <c r="D18" s="78">
        <f>Calculations!J176</f>
        <v>0</v>
      </c>
      <c r="E18" s="61" t="s">
        <v>126</v>
      </c>
    </row>
    <row r="19" spans="1:11" x14ac:dyDescent="0.3">
      <c r="B19" s="61" t="s">
        <v>160</v>
      </c>
      <c r="C19" s="78">
        <f>Calculations!H177</f>
        <v>29245.834541640012</v>
      </c>
      <c r="D19" s="78">
        <f>Calculations!J169+Calculations!J185+Calculations!J177-Calculations!H169</f>
        <v>-985.32</v>
      </c>
      <c r="E19" s="61" t="s">
        <v>126</v>
      </c>
    </row>
    <row r="20" spans="1:11" x14ac:dyDescent="0.3">
      <c r="B20" s="61" t="s">
        <v>134</v>
      </c>
      <c r="C20" s="78">
        <f>IF(Calculations!H178&gt;0, Calculations!H178+Calculations!H184-Calculations!J186+Calculations!H168-Calculations!J168,0)</f>
        <v>0</v>
      </c>
      <c r="D20" s="78">
        <f>IF(Calculations!J178&gt;0,Calculations!J178-Calculations!H184+Calculations!J186+Calculations!J168-Calculations!H168-Calculations!H191,0)</f>
        <v>49136.873795294538</v>
      </c>
      <c r="E20" s="61" t="s">
        <v>126</v>
      </c>
    </row>
    <row r="21" spans="1:11" x14ac:dyDescent="0.3">
      <c r="C21" s="78"/>
      <c r="D21" s="78"/>
    </row>
    <row r="22" spans="1:11" x14ac:dyDescent="0.3">
      <c r="B22" s="61" t="s">
        <v>161</v>
      </c>
      <c r="C22" s="78">
        <f>C20</f>
        <v>0</v>
      </c>
      <c r="D22" s="78">
        <f>D20</f>
        <v>49136.873795294538</v>
      </c>
      <c r="E22" s="64" t="s">
        <v>130</v>
      </c>
      <c r="F22" s="69" t="s">
        <v>135</v>
      </c>
    </row>
    <row r="23" spans="1:11" x14ac:dyDescent="0.3">
      <c r="B23" s="70" t="s">
        <v>329</v>
      </c>
      <c r="C23" s="72" t="s">
        <v>136</v>
      </c>
      <c r="D23" s="63"/>
      <c r="E23" s="63" t="s">
        <v>130</v>
      </c>
      <c r="F23" s="69"/>
    </row>
    <row r="24" spans="1:11" x14ac:dyDescent="0.3">
      <c r="B24" s="70" t="s">
        <v>330</v>
      </c>
      <c r="C24" s="72" t="s">
        <v>136</v>
      </c>
      <c r="D24" s="63"/>
      <c r="E24" s="63" t="s">
        <v>130</v>
      </c>
      <c r="F24" s="69"/>
    </row>
    <row r="25" spans="1:11" x14ac:dyDescent="0.3">
      <c r="B25" s="70" t="s">
        <v>331</v>
      </c>
      <c r="C25" s="72" t="s">
        <v>136</v>
      </c>
      <c r="D25" s="63"/>
      <c r="E25" s="63" t="s">
        <v>130</v>
      </c>
    </row>
    <row r="26" spans="1:11" x14ac:dyDescent="0.3">
      <c r="B26" s="70" t="s">
        <v>332</v>
      </c>
      <c r="C26" s="72" t="s">
        <v>136</v>
      </c>
      <c r="D26" s="63"/>
      <c r="E26" s="63" t="s">
        <v>130</v>
      </c>
    </row>
    <row r="27" spans="1:11" x14ac:dyDescent="0.3">
      <c r="B27" s="70" t="s">
        <v>333</v>
      </c>
      <c r="C27" s="72" t="s">
        <v>136</v>
      </c>
      <c r="D27" s="63"/>
      <c r="E27" s="63" t="s">
        <v>130</v>
      </c>
    </row>
    <row r="28" spans="1:11" x14ac:dyDescent="0.3">
      <c r="B28" s="70" t="s">
        <v>334</v>
      </c>
      <c r="C28" s="72" t="s">
        <v>136</v>
      </c>
      <c r="D28" s="63"/>
      <c r="E28" s="63" t="s">
        <v>130</v>
      </c>
    </row>
    <row r="29" spans="1:11" ht="8.25" customHeight="1" x14ac:dyDescent="0.3">
      <c r="B29" s="70" t="s">
        <v>335</v>
      </c>
      <c r="C29" s="72" t="s">
        <v>136</v>
      </c>
      <c r="D29" s="63"/>
      <c r="E29" s="63" t="s">
        <v>130</v>
      </c>
    </row>
    <row r="30" spans="1:11" x14ac:dyDescent="0.3">
      <c r="C30" s="68"/>
      <c r="D30" s="68"/>
      <c r="K30" s="76"/>
    </row>
    <row r="31" spans="1:11" x14ac:dyDescent="0.3">
      <c r="A31" s="71" t="s">
        <v>137</v>
      </c>
      <c r="C31" s="68"/>
      <c r="D31" s="68"/>
      <c r="K31" s="76"/>
    </row>
    <row r="32" spans="1:11" x14ac:dyDescent="0.3">
      <c r="A32" s="67" t="s">
        <v>157</v>
      </c>
      <c r="C32" s="68"/>
      <c r="D32" s="68"/>
      <c r="K32" s="76"/>
    </row>
    <row r="33" spans="1:6" x14ac:dyDescent="0.3">
      <c r="A33" s="67" t="s">
        <v>762</v>
      </c>
      <c r="C33" s="68"/>
      <c r="D33" s="68"/>
    </row>
    <row r="34" spans="1:6" x14ac:dyDescent="0.3">
      <c r="B34" s="67"/>
    </row>
    <row r="35" spans="1:6" x14ac:dyDescent="0.3">
      <c r="A35" s="67" t="s">
        <v>138</v>
      </c>
      <c r="B35" s="67" t="s">
        <v>139</v>
      </c>
      <c r="C35" s="77">
        <f>Calculations!H197</f>
        <v>27238.5</v>
      </c>
      <c r="D35" s="77"/>
      <c r="E35" s="67" t="s">
        <v>126</v>
      </c>
    </row>
    <row r="36" spans="1:6" x14ac:dyDescent="0.3">
      <c r="B36" s="67" t="s">
        <v>141</v>
      </c>
      <c r="C36" s="78"/>
      <c r="D36" s="77">
        <f>Calculations!J198</f>
        <v>27238.5</v>
      </c>
      <c r="E36" s="67" t="s">
        <v>126</v>
      </c>
    </row>
    <row r="37" spans="1:6" x14ac:dyDescent="0.3">
      <c r="B37" s="67"/>
      <c r="C37" s="79"/>
      <c r="D37" s="80"/>
      <c r="E37" s="67"/>
    </row>
    <row r="38" spans="1:6" x14ac:dyDescent="0.3">
      <c r="A38" s="67"/>
      <c r="B38" s="67" t="s">
        <v>142</v>
      </c>
      <c r="C38" s="81">
        <f>C35</f>
        <v>27238.5</v>
      </c>
      <c r="D38" s="80"/>
      <c r="E38" s="64" t="s">
        <v>130</v>
      </c>
      <c r="F38" s="69" t="s">
        <v>135</v>
      </c>
    </row>
    <row r="39" spans="1:6" x14ac:dyDescent="0.3">
      <c r="B39" s="70" t="s">
        <v>329</v>
      </c>
      <c r="C39" s="72" t="s">
        <v>136</v>
      </c>
      <c r="D39" s="63"/>
      <c r="E39" s="63" t="s">
        <v>130</v>
      </c>
      <c r="F39" s="69"/>
    </row>
    <row r="40" spans="1:6" x14ac:dyDescent="0.3">
      <c r="B40" s="70" t="s">
        <v>330</v>
      </c>
      <c r="C40" s="72" t="s">
        <v>136</v>
      </c>
      <c r="D40" s="63"/>
      <c r="E40" s="63" t="s">
        <v>130</v>
      </c>
      <c r="F40" s="69"/>
    </row>
    <row r="41" spans="1:6" x14ac:dyDescent="0.3">
      <c r="B41" s="70" t="s">
        <v>331</v>
      </c>
      <c r="C41" s="72" t="s">
        <v>136</v>
      </c>
      <c r="D41" s="63"/>
      <c r="E41" s="63" t="s">
        <v>130</v>
      </c>
    </row>
    <row r="42" spans="1:6" x14ac:dyDescent="0.3">
      <c r="B42" s="70" t="s">
        <v>332</v>
      </c>
      <c r="C42" s="72" t="s">
        <v>136</v>
      </c>
      <c r="D42" s="63"/>
      <c r="E42" s="63" t="s">
        <v>130</v>
      </c>
    </row>
    <row r="43" spans="1:6" x14ac:dyDescent="0.3">
      <c r="B43" s="70" t="s">
        <v>333</v>
      </c>
      <c r="C43" s="72" t="s">
        <v>136</v>
      </c>
      <c r="D43" s="63"/>
      <c r="E43" s="63" t="s">
        <v>130</v>
      </c>
    </row>
    <row r="44" spans="1:6" x14ac:dyDescent="0.3">
      <c r="B44" s="70" t="s">
        <v>334</v>
      </c>
      <c r="C44" s="72" t="s">
        <v>136</v>
      </c>
      <c r="D44" s="63"/>
      <c r="E44" s="63" t="s">
        <v>130</v>
      </c>
    </row>
    <row r="45" spans="1:6" x14ac:dyDescent="0.3">
      <c r="B45" s="70" t="s">
        <v>335</v>
      </c>
      <c r="C45" s="72" t="s">
        <v>136</v>
      </c>
      <c r="D45" s="63"/>
      <c r="E45" s="63" t="s">
        <v>130</v>
      </c>
    </row>
    <row r="46" spans="1:6" x14ac:dyDescent="0.3">
      <c r="B46" s="67"/>
      <c r="D46" s="67"/>
      <c r="E46" s="67"/>
    </row>
    <row r="47" spans="1:6" x14ac:dyDescent="0.3">
      <c r="A47" s="67" t="s">
        <v>143</v>
      </c>
      <c r="B47" s="67"/>
      <c r="D47" s="67"/>
      <c r="E47" s="67"/>
    </row>
    <row r="48" spans="1:6" x14ac:dyDescent="0.3">
      <c r="A48" s="67"/>
      <c r="B48" s="67"/>
      <c r="D48" s="67"/>
      <c r="E48" s="67"/>
    </row>
    <row r="49" spans="1:6" x14ac:dyDescent="0.3">
      <c r="A49" s="67" t="s">
        <v>140</v>
      </c>
      <c r="B49" s="67" t="s">
        <v>144</v>
      </c>
      <c r="C49" s="77">
        <f>Calculations!H202</f>
        <v>27783.24</v>
      </c>
      <c r="D49" s="77"/>
      <c r="E49" s="67" t="s">
        <v>126</v>
      </c>
    </row>
    <row r="50" spans="1:6" x14ac:dyDescent="0.3">
      <c r="A50" s="67"/>
      <c r="B50" s="67" t="s">
        <v>134</v>
      </c>
      <c r="C50" s="77"/>
      <c r="D50" s="77">
        <f>Calculations!J203</f>
        <v>27783.24</v>
      </c>
      <c r="E50" s="67" t="s">
        <v>126</v>
      </c>
    </row>
    <row r="51" spans="1:6" x14ac:dyDescent="0.3">
      <c r="A51" s="67"/>
      <c r="B51" s="67"/>
      <c r="C51" s="77"/>
      <c r="D51" s="77"/>
      <c r="E51" s="67"/>
    </row>
    <row r="52" spans="1:6" x14ac:dyDescent="0.3">
      <c r="A52" s="67"/>
      <c r="B52" s="67" t="s">
        <v>145</v>
      </c>
      <c r="C52" s="78"/>
      <c r="D52" s="77">
        <f>D50</f>
        <v>27783.24</v>
      </c>
      <c r="E52" s="64" t="s">
        <v>130</v>
      </c>
      <c r="F52" s="69" t="s">
        <v>135</v>
      </c>
    </row>
    <row r="53" spans="1:6" x14ac:dyDescent="0.3">
      <c r="B53" s="70" t="s">
        <v>329</v>
      </c>
      <c r="C53" s="72"/>
      <c r="D53" s="72" t="s">
        <v>136</v>
      </c>
      <c r="E53" s="63" t="s">
        <v>130</v>
      </c>
      <c r="F53" s="69"/>
    </row>
    <row r="54" spans="1:6" x14ac:dyDescent="0.3">
      <c r="B54" s="70" t="s">
        <v>330</v>
      </c>
      <c r="C54" s="72"/>
      <c r="D54" s="72" t="s">
        <v>136</v>
      </c>
      <c r="E54" s="63" t="s">
        <v>130</v>
      </c>
      <c r="F54" s="69"/>
    </row>
    <row r="55" spans="1:6" x14ac:dyDescent="0.3">
      <c r="B55" s="70" t="s">
        <v>331</v>
      </c>
      <c r="C55" s="72"/>
      <c r="D55" s="72" t="s">
        <v>136</v>
      </c>
      <c r="E55" s="63" t="s">
        <v>130</v>
      </c>
    </row>
    <row r="56" spans="1:6" x14ac:dyDescent="0.3">
      <c r="B56" s="70" t="s">
        <v>332</v>
      </c>
      <c r="C56" s="72"/>
      <c r="D56" s="72" t="s">
        <v>136</v>
      </c>
      <c r="E56" s="63" t="s">
        <v>130</v>
      </c>
    </row>
    <row r="57" spans="1:6" x14ac:dyDescent="0.3">
      <c r="B57" s="70" t="s">
        <v>333</v>
      </c>
      <c r="C57" s="72"/>
      <c r="D57" s="72" t="s">
        <v>136</v>
      </c>
      <c r="E57" s="63" t="s">
        <v>130</v>
      </c>
    </row>
    <row r="58" spans="1:6" x14ac:dyDescent="0.3">
      <c r="B58" s="70" t="s">
        <v>334</v>
      </c>
      <c r="C58" s="72"/>
      <c r="D58" s="72" t="s">
        <v>136</v>
      </c>
      <c r="E58" s="63" t="s">
        <v>130</v>
      </c>
    </row>
    <row r="59" spans="1:6" x14ac:dyDescent="0.3">
      <c r="B59" s="70" t="s">
        <v>335</v>
      </c>
      <c r="C59" s="72"/>
      <c r="D59" s="72" t="s">
        <v>136</v>
      </c>
      <c r="E59" s="63" t="s">
        <v>130</v>
      </c>
    </row>
    <row r="60" spans="1:6" x14ac:dyDescent="0.3">
      <c r="A60" s="67"/>
      <c r="B60" s="67"/>
      <c r="D60" s="67"/>
      <c r="E60" s="67"/>
    </row>
    <row r="61" spans="1:6" x14ac:dyDescent="0.3">
      <c r="A61" s="67" t="s">
        <v>146</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topLeftCell="A69" zoomScaleNormal="100" workbookViewId="0">
      <selection activeCell="M120" sqref="M120"/>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ht="17.399999999999999" x14ac:dyDescent="0.3">
      <c r="A2" s="411" t="s">
        <v>336</v>
      </c>
      <c r="B2" s="410"/>
      <c r="C2" s="410"/>
      <c r="D2" s="410"/>
      <c r="E2" s="410"/>
      <c r="F2" s="410"/>
      <c r="G2" s="410"/>
      <c r="H2" s="410"/>
      <c r="I2" s="410"/>
      <c r="J2" s="410"/>
      <c r="K2" s="410"/>
      <c r="L2" s="410"/>
      <c r="M2" s="410"/>
      <c r="N2" s="410"/>
      <c r="O2" s="410"/>
    </row>
    <row r="3" spans="1:15" ht="17.399999999999999" x14ac:dyDescent="0.3">
      <c r="A3" s="410" t="s">
        <v>337</v>
      </c>
      <c r="B3" s="410"/>
      <c r="C3" s="410"/>
      <c r="D3" s="410"/>
      <c r="E3" s="410"/>
      <c r="F3" s="410"/>
      <c r="G3" s="410"/>
      <c r="H3" s="410"/>
      <c r="I3" s="410"/>
      <c r="J3" s="410"/>
      <c r="K3" s="410"/>
      <c r="L3" s="410"/>
      <c r="M3" s="410"/>
      <c r="N3" s="410"/>
      <c r="O3" s="410"/>
    </row>
    <row r="4" spans="1:15" ht="15.9" customHeight="1" x14ac:dyDescent="0.3">
      <c r="A4" s="161"/>
      <c r="B4" s="161"/>
      <c r="C4" s="83"/>
      <c r="D4" s="83"/>
      <c r="E4" s="83"/>
      <c r="F4" s="83"/>
      <c r="G4" s="83"/>
      <c r="H4" s="83"/>
      <c r="I4" s="83"/>
      <c r="J4" s="83"/>
      <c r="K4" s="83"/>
      <c r="L4" s="83"/>
      <c r="M4" s="83" t="s">
        <v>272</v>
      </c>
    </row>
    <row r="5" spans="1:15" ht="15.9" customHeight="1" x14ac:dyDescent="0.3">
      <c r="A5" s="84"/>
      <c r="B5" s="84"/>
      <c r="C5" s="83" t="s">
        <v>162</v>
      </c>
      <c r="D5" s="83"/>
      <c r="E5" s="168"/>
      <c r="F5" s="83"/>
      <c r="G5" s="168"/>
      <c r="H5" s="83"/>
      <c r="I5" s="168"/>
      <c r="J5" s="168"/>
      <c r="K5" s="83"/>
      <c r="L5" s="83"/>
      <c r="M5" s="83" t="s">
        <v>338</v>
      </c>
      <c r="O5" s="169" t="s">
        <v>164</v>
      </c>
    </row>
    <row r="6" spans="1:15" ht="15.9" customHeight="1" x14ac:dyDescent="0.3">
      <c r="A6" s="84"/>
      <c r="B6" s="84"/>
      <c r="C6" s="83" t="s">
        <v>191</v>
      </c>
      <c r="D6" s="83"/>
      <c r="E6" s="170" t="s">
        <v>339</v>
      </c>
      <c r="F6" s="162"/>
      <c r="G6" s="162"/>
      <c r="H6" s="83"/>
      <c r="I6" s="83"/>
      <c r="J6" s="83"/>
      <c r="K6" s="83"/>
      <c r="L6" s="83"/>
      <c r="M6" s="83" t="s">
        <v>340</v>
      </c>
      <c r="O6" s="169" t="s">
        <v>166</v>
      </c>
    </row>
    <row r="7" spans="1:15" ht="15.9" customHeight="1" x14ac:dyDescent="0.3">
      <c r="A7" s="84"/>
      <c r="B7" s="84"/>
      <c r="C7" s="162" t="s">
        <v>165</v>
      </c>
      <c r="D7" s="83"/>
      <c r="E7" s="162" t="s">
        <v>73</v>
      </c>
      <c r="F7" s="83" t="s">
        <v>341</v>
      </c>
      <c r="G7" s="162" t="s">
        <v>74</v>
      </c>
      <c r="H7" s="83" t="s">
        <v>341</v>
      </c>
      <c r="I7" s="162"/>
      <c r="J7" s="83"/>
      <c r="K7" s="162"/>
      <c r="L7" s="83"/>
      <c r="M7" s="162" t="s">
        <v>165</v>
      </c>
      <c r="O7" s="169" t="s">
        <v>167</v>
      </c>
    </row>
    <row r="8" spans="1:15" ht="18" customHeight="1" x14ac:dyDescent="0.3">
      <c r="A8" s="84" t="s">
        <v>168</v>
      </c>
    </row>
    <row r="9" spans="1:15" ht="18" customHeight="1" x14ac:dyDescent="0.3">
      <c r="A9" s="82" t="s">
        <v>169</v>
      </c>
    </row>
    <row r="10" spans="1:15" ht="18" customHeight="1" x14ac:dyDescent="0.3">
      <c r="A10" s="61" t="s">
        <v>342</v>
      </c>
      <c r="C10" s="171"/>
      <c r="D10" s="172"/>
      <c r="E10" s="171"/>
      <c r="F10" s="173"/>
      <c r="G10" s="171"/>
      <c r="H10" s="173"/>
      <c r="I10" s="172"/>
      <c r="J10" s="172"/>
      <c r="K10" s="172"/>
      <c r="L10" s="172"/>
      <c r="M10" s="171">
        <f>+C10+E10-G10</f>
        <v>0</v>
      </c>
      <c r="O10" s="174" t="s">
        <v>343</v>
      </c>
    </row>
    <row r="11" spans="1:15" ht="18" customHeight="1" x14ac:dyDescent="0.3">
      <c r="A11" s="61" t="s">
        <v>344</v>
      </c>
      <c r="C11" s="171"/>
      <c r="D11" s="172"/>
      <c r="E11" s="171"/>
      <c r="F11" s="173"/>
      <c r="G11" s="171"/>
      <c r="H11" s="173"/>
      <c r="I11" s="172"/>
      <c r="J11" s="172"/>
      <c r="K11" s="172"/>
      <c r="L11" s="172"/>
      <c r="M11" s="171">
        <f>+C11+E11-G11</f>
        <v>0</v>
      </c>
      <c r="O11" s="174" t="s">
        <v>192</v>
      </c>
    </row>
    <row r="12" spans="1:15" ht="18" customHeight="1" x14ac:dyDescent="0.3">
      <c r="A12" s="61" t="s">
        <v>345</v>
      </c>
      <c r="C12" s="171"/>
      <c r="D12" s="172"/>
      <c r="E12" s="171"/>
      <c r="F12" s="173"/>
      <c r="G12" s="171"/>
      <c r="H12" s="173"/>
      <c r="I12" s="172"/>
      <c r="J12" s="172"/>
      <c r="K12" s="172"/>
      <c r="L12" s="172"/>
      <c r="M12" s="171">
        <f t="shared" ref="M12:M19" si="0">+C12+E12-G12</f>
        <v>0</v>
      </c>
      <c r="O12" s="174" t="s">
        <v>170</v>
      </c>
    </row>
    <row r="13" spans="1:15" ht="18" customHeight="1" x14ac:dyDescent="0.3">
      <c r="A13" s="61" t="s">
        <v>346</v>
      </c>
      <c r="C13" s="171"/>
      <c r="D13" s="172"/>
      <c r="E13" s="171"/>
      <c r="F13" s="173"/>
      <c r="G13" s="171"/>
      <c r="H13" s="173"/>
      <c r="I13" s="172"/>
      <c r="J13" s="172"/>
      <c r="K13" s="172"/>
      <c r="L13" s="172"/>
      <c r="M13" s="171">
        <f t="shared" si="0"/>
        <v>0</v>
      </c>
      <c r="O13" s="174" t="s">
        <v>347</v>
      </c>
    </row>
    <row r="14" spans="1:15" ht="18" customHeight="1" x14ac:dyDescent="0.3">
      <c r="A14" s="61" t="s">
        <v>348</v>
      </c>
      <c r="C14" s="171"/>
      <c r="D14" s="172"/>
      <c r="E14" s="171"/>
      <c r="F14" s="173"/>
      <c r="G14" s="171"/>
      <c r="H14" s="173"/>
      <c r="I14" s="172"/>
      <c r="J14" s="172"/>
      <c r="K14" s="172"/>
      <c r="L14" s="172"/>
      <c r="M14" s="171">
        <f t="shared" si="0"/>
        <v>0</v>
      </c>
      <c r="O14" s="174" t="s">
        <v>347</v>
      </c>
    </row>
    <row r="15" spans="1:15" ht="18" customHeight="1" x14ac:dyDescent="0.3">
      <c r="A15" s="61" t="s">
        <v>349</v>
      </c>
      <c r="C15" s="171"/>
      <c r="D15" s="172"/>
      <c r="E15" s="171"/>
      <c r="F15" s="173"/>
      <c r="G15" s="171"/>
      <c r="H15" s="173"/>
      <c r="I15" s="172"/>
      <c r="J15" s="172"/>
      <c r="K15" s="172"/>
      <c r="L15" s="172"/>
      <c r="M15" s="171">
        <f t="shared" si="0"/>
        <v>0</v>
      </c>
      <c r="O15" s="174" t="s">
        <v>347</v>
      </c>
    </row>
    <row r="16" spans="1:15" ht="18" customHeight="1" x14ac:dyDescent="0.3">
      <c r="A16" s="61" t="s">
        <v>350</v>
      </c>
      <c r="C16" s="171"/>
      <c r="D16" s="172"/>
      <c r="E16" s="171"/>
      <c r="F16" s="173"/>
      <c r="G16" s="171"/>
      <c r="H16" s="173"/>
      <c r="I16" s="172"/>
      <c r="J16" s="172"/>
      <c r="K16" s="172"/>
      <c r="L16" s="172"/>
      <c r="M16" s="171">
        <f t="shared" si="0"/>
        <v>0</v>
      </c>
      <c r="O16" s="174" t="s">
        <v>347</v>
      </c>
    </row>
    <row r="17" spans="1:15" ht="18" customHeight="1" x14ac:dyDescent="0.3">
      <c r="A17" s="61" t="s">
        <v>351</v>
      </c>
      <c r="C17" s="171"/>
      <c r="D17" s="172"/>
      <c r="E17" s="171"/>
      <c r="F17" s="173"/>
      <c r="G17" s="171"/>
      <c r="H17" s="173"/>
      <c r="I17" s="172"/>
      <c r="J17" s="172"/>
      <c r="K17" s="172"/>
      <c r="L17" s="172"/>
      <c r="M17" s="171">
        <f t="shared" si="0"/>
        <v>0</v>
      </c>
      <c r="O17" s="174" t="s">
        <v>347</v>
      </c>
    </row>
    <row r="18" spans="1:15" ht="18" customHeight="1" x14ac:dyDescent="0.3">
      <c r="A18" s="61" t="s">
        <v>352</v>
      </c>
      <c r="C18" s="171"/>
      <c r="D18" s="172"/>
      <c r="E18" s="171"/>
      <c r="F18" s="173"/>
      <c r="G18" s="171"/>
      <c r="H18" s="173"/>
      <c r="I18" s="172"/>
      <c r="J18" s="172"/>
      <c r="K18" s="172"/>
      <c r="L18" s="172"/>
      <c r="M18" s="171">
        <f t="shared" si="0"/>
        <v>0</v>
      </c>
      <c r="O18" s="174" t="s">
        <v>347</v>
      </c>
    </row>
    <row r="19" spans="1:15" ht="18" customHeight="1" x14ac:dyDescent="0.3">
      <c r="A19" s="61" t="s">
        <v>353</v>
      </c>
      <c r="B19" s="88"/>
      <c r="C19" s="171"/>
      <c r="D19" s="172"/>
      <c r="E19" s="171"/>
      <c r="F19" s="173"/>
      <c r="G19" s="171"/>
      <c r="H19" s="173"/>
      <c r="I19" s="172"/>
      <c r="J19" s="172"/>
      <c r="K19" s="172"/>
      <c r="L19" s="172"/>
      <c r="M19" s="171">
        <f t="shared" si="0"/>
        <v>0</v>
      </c>
      <c r="O19" s="174" t="s">
        <v>347</v>
      </c>
    </row>
    <row r="20" spans="1:15" ht="18" customHeight="1" x14ac:dyDescent="0.3">
      <c r="A20" s="61" t="s">
        <v>354</v>
      </c>
      <c r="C20" s="172"/>
      <c r="D20" s="172"/>
      <c r="E20" s="172"/>
      <c r="F20" s="173"/>
      <c r="G20" s="172"/>
      <c r="H20" s="173"/>
      <c r="I20" s="172"/>
      <c r="J20" s="172"/>
      <c r="K20" s="172"/>
      <c r="L20" s="172"/>
      <c r="M20" s="172"/>
      <c r="O20" s="174"/>
    </row>
    <row r="21" spans="1:15" ht="18" customHeight="1" x14ac:dyDescent="0.3">
      <c r="A21" s="61" t="s">
        <v>355</v>
      </c>
      <c r="C21" s="171"/>
      <c r="D21" s="172"/>
      <c r="E21" s="171"/>
      <c r="F21" s="173"/>
      <c r="G21" s="171"/>
      <c r="H21" s="173"/>
      <c r="I21" s="172"/>
      <c r="J21" s="172"/>
      <c r="K21" s="172"/>
      <c r="L21" s="172"/>
      <c r="M21" s="171">
        <f t="shared" ref="M21:M37" si="1">+C21+E21-G21</f>
        <v>0</v>
      </c>
      <c r="N21" s="88"/>
      <c r="O21" s="174" t="s">
        <v>347</v>
      </c>
    </row>
    <row r="22" spans="1:15" ht="18" customHeight="1" x14ac:dyDescent="0.3">
      <c r="A22" s="61" t="s">
        <v>356</v>
      </c>
      <c r="C22" s="171"/>
      <c r="D22" s="172"/>
      <c r="E22" s="171"/>
      <c r="F22" s="173"/>
      <c r="G22" s="171"/>
      <c r="H22" s="173"/>
      <c r="I22" s="172"/>
      <c r="J22" s="172"/>
      <c r="K22" s="172"/>
      <c r="L22" s="172"/>
      <c r="M22" s="171">
        <f t="shared" si="1"/>
        <v>0</v>
      </c>
      <c r="O22" s="174" t="s">
        <v>347</v>
      </c>
    </row>
    <row r="23" spans="1:15" ht="18" customHeight="1" x14ac:dyDescent="0.3">
      <c r="A23" s="61" t="s">
        <v>357</v>
      </c>
      <c r="C23" s="171"/>
      <c r="D23" s="172"/>
      <c r="E23" s="171"/>
      <c r="F23" s="173"/>
      <c r="G23" s="171"/>
      <c r="H23" s="173"/>
      <c r="I23" s="172"/>
      <c r="J23" s="172"/>
      <c r="K23" s="172"/>
      <c r="L23" s="172"/>
      <c r="M23" s="171">
        <f t="shared" si="1"/>
        <v>0</v>
      </c>
      <c r="O23" s="174" t="s">
        <v>358</v>
      </c>
    </row>
    <row r="24" spans="1:15" ht="18" customHeight="1" x14ac:dyDescent="0.3">
      <c r="A24" s="61" t="s">
        <v>359</v>
      </c>
      <c r="C24" s="171"/>
      <c r="D24" s="172"/>
      <c r="E24" s="171"/>
      <c r="F24" s="173"/>
      <c r="G24" s="171"/>
      <c r="H24" s="173"/>
      <c r="I24" s="172"/>
      <c r="J24" s="172"/>
      <c r="K24" s="172"/>
      <c r="L24" s="172"/>
      <c r="M24" s="171">
        <f t="shared" si="1"/>
        <v>0</v>
      </c>
      <c r="O24" s="174" t="s">
        <v>360</v>
      </c>
    </row>
    <row r="25" spans="1:15" ht="18" customHeight="1" x14ac:dyDescent="0.3">
      <c r="A25" s="61" t="s">
        <v>361</v>
      </c>
      <c r="C25" s="171"/>
      <c r="D25" s="172"/>
      <c r="E25" s="171"/>
      <c r="F25" s="173"/>
      <c r="G25" s="171"/>
      <c r="H25" s="173"/>
      <c r="I25" s="172"/>
      <c r="J25" s="172"/>
      <c r="K25" s="172"/>
      <c r="L25" s="172"/>
      <c r="M25" s="171">
        <f t="shared" si="1"/>
        <v>0</v>
      </c>
      <c r="O25" s="174" t="s">
        <v>347</v>
      </c>
    </row>
    <row r="26" spans="1:15" ht="18" customHeight="1" x14ac:dyDescent="0.3">
      <c r="A26" s="61" t="s">
        <v>362</v>
      </c>
      <c r="C26" s="171"/>
      <c r="D26" s="172"/>
      <c r="E26" s="171"/>
      <c r="F26" s="173"/>
      <c r="G26" s="171"/>
      <c r="H26" s="173"/>
      <c r="I26" s="172"/>
      <c r="J26" s="172"/>
      <c r="K26" s="172"/>
      <c r="L26" s="172"/>
      <c r="M26" s="171">
        <f t="shared" si="1"/>
        <v>0</v>
      </c>
      <c r="O26" s="174" t="s">
        <v>347</v>
      </c>
    </row>
    <row r="27" spans="1:15" ht="18" customHeight="1" x14ac:dyDescent="0.3">
      <c r="A27" s="61" t="s">
        <v>363</v>
      </c>
      <c r="C27" s="171"/>
      <c r="D27" s="172"/>
      <c r="E27" s="171"/>
      <c r="F27" s="173"/>
      <c r="G27" s="171"/>
      <c r="H27" s="173"/>
      <c r="I27" s="172"/>
      <c r="J27" s="172"/>
      <c r="K27" s="172"/>
      <c r="L27" s="172"/>
      <c r="M27" s="171">
        <f t="shared" si="1"/>
        <v>0</v>
      </c>
      <c r="O27" s="174" t="s">
        <v>347</v>
      </c>
    </row>
    <row r="28" spans="1:15" ht="18" customHeight="1" x14ac:dyDescent="0.3">
      <c r="A28" s="61" t="s">
        <v>364</v>
      </c>
      <c r="C28" s="171"/>
      <c r="D28" s="172"/>
      <c r="E28" s="171"/>
      <c r="F28" s="173"/>
      <c r="G28" s="171"/>
      <c r="H28" s="173"/>
      <c r="I28" s="172"/>
      <c r="J28" s="172"/>
      <c r="K28" s="172"/>
      <c r="L28" s="172"/>
      <c r="M28" s="171">
        <f t="shared" si="1"/>
        <v>0</v>
      </c>
      <c r="O28" s="174" t="s">
        <v>171</v>
      </c>
    </row>
    <row r="29" spans="1:15" ht="18" customHeight="1" x14ac:dyDescent="0.3">
      <c r="A29" s="61" t="s">
        <v>365</v>
      </c>
      <c r="C29" s="171"/>
      <c r="D29" s="172"/>
      <c r="E29" s="171"/>
      <c r="F29" s="173"/>
      <c r="G29" s="171"/>
      <c r="H29" s="173"/>
      <c r="I29" s="172"/>
      <c r="J29" s="172"/>
      <c r="K29" s="172"/>
      <c r="L29" s="172"/>
      <c r="M29" s="171">
        <f t="shared" si="1"/>
        <v>0</v>
      </c>
      <c r="O29" s="174" t="s">
        <v>171</v>
      </c>
    </row>
    <row r="30" spans="1:15" ht="18" customHeight="1" x14ac:dyDescent="0.3">
      <c r="A30" s="61" t="s">
        <v>366</v>
      </c>
      <c r="C30" s="171"/>
      <c r="D30" s="172"/>
      <c r="E30" s="171"/>
      <c r="F30" s="173"/>
      <c r="G30" s="171"/>
      <c r="H30" s="173"/>
      <c r="I30" s="172"/>
      <c r="J30" s="172"/>
      <c r="K30" s="172"/>
      <c r="L30" s="172"/>
      <c r="M30" s="171">
        <f t="shared" si="1"/>
        <v>0</v>
      </c>
      <c r="O30" s="174" t="s">
        <v>367</v>
      </c>
    </row>
    <row r="31" spans="1:15" ht="18" customHeight="1" x14ac:dyDescent="0.3">
      <c r="A31" s="61" t="s">
        <v>368</v>
      </c>
      <c r="C31" s="171"/>
      <c r="D31" s="172"/>
      <c r="E31" s="171"/>
      <c r="F31" s="173"/>
      <c r="G31" s="171"/>
      <c r="H31" s="173"/>
      <c r="I31" s="172"/>
      <c r="J31" s="172"/>
      <c r="K31" s="172"/>
      <c r="L31" s="172"/>
      <c r="M31" s="171">
        <f t="shared" si="1"/>
        <v>0</v>
      </c>
      <c r="O31" s="174" t="s">
        <v>367</v>
      </c>
    </row>
    <row r="32" spans="1:15" ht="18" customHeight="1" x14ac:dyDescent="0.3">
      <c r="A32" s="61" t="s">
        <v>369</v>
      </c>
      <c r="C32" s="171"/>
      <c r="D32" s="172"/>
      <c r="E32" s="171"/>
      <c r="F32" s="173"/>
      <c r="G32" s="171"/>
      <c r="H32" s="173"/>
      <c r="I32" s="172"/>
      <c r="J32" s="172"/>
      <c r="K32" s="172"/>
      <c r="L32" s="172"/>
      <c r="M32" s="171">
        <f t="shared" si="1"/>
        <v>0</v>
      </c>
      <c r="O32" s="174" t="s">
        <v>367</v>
      </c>
    </row>
    <row r="33" spans="1:15" ht="18" customHeight="1" x14ac:dyDescent="0.3">
      <c r="A33" s="61" t="s">
        <v>370</v>
      </c>
      <c r="C33" s="171"/>
      <c r="D33" s="172"/>
      <c r="E33" s="171"/>
      <c r="F33" s="173"/>
      <c r="G33" s="171"/>
      <c r="H33" s="173"/>
      <c r="I33" s="172"/>
      <c r="J33" s="172"/>
      <c r="K33" s="172"/>
      <c r="L33" s="172"/>
      <c r="M33" s="171">
        <f t="shared" si="1"/>
        <v>0</v>
      </c>
      <c r="O33" s="174" t="s">
        <v>360</v>
      </c>
    </row>
    <row r="34" spans="1:15" ht="18" customHeight="1" x14ac:dyDescent="0.3">
      <c r="A34" s="58" t="s">
        <v>371</v>
      </c>
      <c r="C34" s="175"/>
      <c r="D34" s="172"/>
      <c r="E34" s="194">
        <f>Reconciliations!C5</f>
        <v>1328.9508491000001</v>
      </c>
      <c r="F34" s="173" t="s">
        <v>125</v>
      </c>
      <c r="G34" s="171"/>
      <c r="H34" s="173"/>
      <c r="I34" s="172"/>
      <c r="J34" s="172"/>
      <c r="K34" s="172"/>
      <c r="L34" s="172"/>
      <c r="M34" s="175">
        <f>+C34+E34+E35-G34-G35</f>
        <v>2595.4416442800002</v>
      </c>
      <c r="O34" s="185" t="s">
        <v>75</v>
      </c>
    </row>
    <row r="35" spans="1:15" ht="18" customHeight="1" x14ac:dyDescent="0.3">
      <c r="C35" s="172"/>
      <c r="D35" s="172"/>
      <c r="E35" s="194">
        <f>Reconciliations!C16</f>
        <v>1266.4907951800001</v>
      </c>
      <c r="F35" s="173" t="s">
        <v>133</v>
      </c>
      <c r="G35" s="194">
        <f>Reconciliations!D16</f>
        <v>0</v>
      </c>
      <c r="H35" s="173" t="s">
        <v>133</v>
      </c>
      <c r="I35" s="172"/>
      <c r="J35" s="172"/>
      <c r="K35" s="172"/>
      <c r="L35" s="172"/>
      <c r="M35" s="172"/>
      <c r="O35" s="174"/>
    </row>
    <row r="36" spans="1:15" ht="18" customHeight="1" x14ac:dyDescent="0.3">
      <c r="A36" s="61" t="s">
        <v>372</v>
      </c>
      <c r="C36" s="171"/>
      <c r="D36" s="172"/>
      <c r="E36" s="171"/>
      <c r="F36" s="173"/>
      <c r="G36" s="171"/>
      <c r="H36" s="173"/>
      <c r="I36" s="172"/>
      <c r="J36" s="172"/>
      <c r="K36" s="172"/>
      <c r="L36" s="172"/>
      <c r="M36" s="171">
        <f t="shared" si="1"/>
        <v>0</v>
      </c>
      <c r="O36" s="174" t="s">
        <v>373</v>
      </c>
    </row>
    <row r="37" spans="1:15" ht="18" customHeight="1" x14ac:dyDescent="0.3">
      <c r="A37" s="61" t="s">
        <v>374</v>
      </c>
      <c r="C37" s="171"/>
      <c r="D37" s="172"/>
      <c r="E37" s="171"/>
      <c r="F37" s="173"/>
      <c r="G37" s="171"/>
      <c r="H37" s="173"/>
      <c r="I37" s="172"/>
      <c r="J37" s="172"/>
      <c r="K37" s="172"/>
      <c r="L37" s="172"/>
      <c r="M37" s="171">
        <f t="shared" si="1"/>
        <v>0</v>
      </c>
      <c r="O37" s="174" t="s">
        <v>375</v>
      </c>
    </row>
    <row r="38" spans="1:15" ht="18" customHeight="1" x14ac:dyDescent="0.3">
      <c r="C38" s="172"/>
      <c r="D38" s="172"/>
      <c r="E38" s="172"/>
      <c r="F38" s="173"/>
      <c r="G38" s="172"/>
      <c r="H38" s="173"/>
      <c r="I38" s="172"/>
      <c r="J38" s="172"/>
      <c r="K38" s="172"/>
      <c r="L38" s="172"/>
      <c r="M38" s="172"/>
      <c r="O38" s="174"/>
    </row>
    <row r="39" spans="1:15" ht="18" customHeight="1" x14ac:dyDescent="0.3">
      <c r="A39" s="61" t="s">
        <v>376</v>
      </c>
      <c r="C39" s="172"/>
      <c r="D39" s="172"/>
      <c r="E39" s="172"/>
      <c r="F39" s="173"/>
      <c r="G39" s="172"/>
      <c r="H39" s="173"/>
      <c r="I39" s="172"/>
      <c r="J39" s="172"/>
      <c r="K39" s="172"/>
      <c r="L39" s="172"/>
      <c r="M39" s="172"/>
      <c r="O39" s="174"/>
    </row>
    <row r="40" spans="1:15" ht="18" customHeight="1" x14ac:dyDescent="0.3">
      <c r="A40" s="61" t="s">
        <v>377</v>
      </c>
      <c r="C40" s="171"/>
      <c r="D40" s="172"/>
      <c r="E40" s="171"/>
      <c r="F40" s="173"/>
      <c r="G40" s="171"/>
      <c r="H40" s="173"/>
      <c r="I40" s="172"/>
      <c r="J40" s="172"/>
      <c r="K40" s="172"/>
      <c r="L40" s="172"/>
      <c r="M40" s="171">
        <f>+C40+E40-G40</f>
        <v>0</v>
      </c>
      <c r="O40" s="174" t="s">
        <v>172</v>
      </c>
    </row>
    <row r="41" spans="1:15" ht="18" customHeight="1" x14ac:dyDescent="0.3">
      <c r="A41" s="82" t="s">
        <v>173</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378</v>
      </c>
    </row>
    <row r="44" spans="1:15" ht="18" customHeight="1" x14ac:dyDescent="0.3">
      <c r="A44" s="82" t="s">
        <v>174</v>
      </c>
      <c r="C44" s="176">
        <f>SUM(C10:C43)</f>
        <v>0</v>
      </c>
      <c r="D44" s="172"/>
      <c r="E44" s="176">
        <f>SUM(E10:E43)</f>
        <v>2595.4416442800002</v>
      </c>
      <c r="F44" s="173"/>
      <c r="G44" s="176">
        <f>SUM(G10:G43)</f>
        <v>0</v>
      </c>
      <c r="H44" s="173"/>
      <c r="I44" s="172"/>
      <c r="J44" s="172"/>
      <c r="K44" s="172"/>
      <c r="L44" s="172"/>
      <c r="M44" s="176">
        <f>SUM(M10:M42)</f>
        <v>2595.4416442800002</v>
      </c>
      <c r="N44" s="88"/>
      <c r="O44" s="174" t="s">
        <v>174</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175</v>
      </c>
      <c r="C46" s="172"/>
      <c r="D46" s="172"/>
      <c r="E46" s="172"/>
      <c r="F46" s="173"/>
      <c r="G46" s="172"/>
      <c r="H46" s="173"/>
      <c r="I46" s="172"/>
      <c r="J46" s="172"/>
      <c r="K46" s="172"/>
      <c r="L46" s="172"/>
      <c r="M46" s="172"/>
      <c r="N46" s="88"/>
      <c r="O46" s="174"/>
    </row>
    <row r="47" spans="1:15" ht="18" customHeight="1" x14ac:dyDescent="0.3">
      <c r="A47" s="90" t="s">
        <v>379</v>
      </c>
      <c r="C47" s="171"/>
      <c r="D47" s="172"/>
      <c r="E47" s="194">
        <f>Reconciliations!C6</f>
        <v>234865.59289230002</v>
      </c>
      <c r="F47" s="173" t="s">
        <v>125</v>
      </c>
      <c r="G47" s="171"/>
      <c r="H47" s="173"/>
      <c r="I47" s="172"/>
      <c r="J47" s="172"/>
      <c r="K47" s="172"/>
      <c r="L47" s="172"/>
      <c r="M47" s="171">
        <f>+C47+E47+E48+E49-G47-G48-G49</f>
        <v>253049.56135077454</v>
      </c>
      <c r="N47" s="88"/>
      <c r="O47" s="184" t="s">
        <v>127</v>
      </c>
    </row>
    <row r="48" spans="1:15" ht="18" customHeight="1" x14ac:dyDescent="0.3">
      <c r="A48" s="82"/>
      <c r="C48" s="172"/>
      <c r="D48" s="172"/>
      <c r="E48" s="194">
        <f>Reconciliations!C17</f>
        <v>17639.228458474528</v>
      </c>
      <c r="F48" s="173" t="s">
        <v>133</v>
      </c>
      <c r="G48" s="194">
        <f>Reconciliations!D17</f>
        <v>0</v>
      </c>
      <c r="H48" s="173" t="s">
        <v>133</v>
      </c>
      <c r="I48" s="172"/>
      <c r="J48" s="172"/>
      <c r="K48" s="172"/>
      <c r="L48" s="172"/>
      <c r="M48" s="172"/>
      <c r="N48" s="88"/>
    </row>
    <row r="49" spans="1:15" ht="18" customHeight="1" x14ac:dyDescent="0.3">
      <c r="A49" s="82"/>
      <c r="C49" s="172"/>
      <c r="D49" s="172"/>
      <c r="E49" s="194">
        <f>Reconciliations!C49</f>
        <v>27783.24</v>
      </c>
      <c r="F49" s="173" t="s">
        <v>140</v>
      </c>
      <c r="G49" s="194">
        <f>Reconciliations!D36</f>
        <v>27238.5</v>
      </c>
      <c r="H49" s="173" t="s">
        <v>138</v>
      </c>
      <c r="I49" s="172"/>
      <c r="J49" s="172"/>
      <c r="K49" s="172"/>
      <c r="L49" s="172"/>
      <c r="M49" s="172"/>
      <c r="N49" s="88"/>
    </row>
    <row r="50" spans="1:15" ht="18" customHeight="1" x14ac:dyDescent="0.3">
      <c r="A50" s="82" t="s">
        <v>380</v>
      </c>
      <c r="C50" s="171"/>
      <c r="D50" s="172"/>
      <c r="E50" s="171"/>
      <c r="F50" s="173"/>
      <c r="G50" s="171"/>
      <c r="H50" s="173"/>
      <c r="I50" s="172"/>
      <c r="J50" s="172"/>
      <c r="K50" s="172"/>
      <c r="L50" s="172"/>
      <c r="M50" s="171">
        <f>+C50+E50-G50</f>
        <v>0</v>
      </c>
      <c r="N50" s="88"/>
      <c r="O50" s="167" t="s">
        <v>381</v>
      </c>
    </row>
    <row r="51" spans="1:15" ht="18" customHeight="1" x14ac:dyDescent="0.3">
      <c r="A51" s="82" t="s">
        <v>382</v>
      </c>
      <c r="C51" s="175"/>
      <c r="D51" s="172"/>
      <c r="E51" s="171"/>
      <c r="F51" s="173"/>
      <c r="G51" s="171"/>
      <c r="H51" s="173"/>
      <c r="I51" s="172"/>
      <c r="J51" s="172"/>
      <c r="K51" s="172"/>
      <c r="L51" s="172"/>
      <c r="M51" s="171">
        <f>+C51+E51-G51</f>
        <v>0</v>
      </c>
      <c r="N51" s="88"/>
      <c r="O51" s="167" t="s">
        <v>383</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176</v>
      </c>
      <c r="C53" s="176">
        <f>SUM(C47:C52)</f>
        <v>0</v>
      </c>
      <c r="D53" s="172"/>
      <c r="E53" s="176">
        <f>SUM(E47:E52)</f>
        <v>280288.06135077454</v>
      </c>
      <c r="F53" s="173"/>
      <c r="G53" s="176">
        <f>SUM(G47:G52)</f>
        <v>27238.5</v>
      </c>
      <c r="H53" s="173"/>
      <c r="I53" s="172"/>
      <c r="J53" s="172"/>
      <c r="K53" s="172"/>
      <c r="L53" s="172"/>
      <c r="M53" s="176">
        <f>SUM(M47:M52)</f>
        <v>253049.56135077454</v>
      </c>
      <c r="N53" s="88"/>
      <c r="O53" s="167" t="s">
        <v>176</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384</v>
      </c>
      <c r="C55" s="172"/>
      <c r="D55" s="172"/>
      <c r="E55" s="172"/>
      <c r="F55" s="173"/>
      <c r="G55" s="172"/>
      <c r="H55" s="173"/>
      <c r="I55" s="172"/>
      <c r="J55" s="172"/>
      <c r="K55" s="172"/>
      <c r="L55" s="172"/>
      <c r="M55" s="172"/>
      <c r="N55" s="88"/>
      <c r="O55" s="174"/>
    </row>
    <row r="56" spans="1:15" ht="18" customHeight="1" thickBot="1" x14ac:dyDescent="0.35">
      <c r="A56" s="61" t="s">
        <v>177</v>
      </c>
      <c r="C56" s="177">
        <f>C44+C53</f>
        <v>0</v>
      </c>
      <c r="D56" s="172"/>
      <c r="E56" s="177">
        <f>E44+E53</f>
        <v>282883.50299505453</v>
      </c>
      <c r="F56" s="173"/>
      <c r="G56" s="177">
        <f>G44+G53</f>
        <v>27238.5</v>
      </c>
      <c r="H56" s="173"/>
      <c r="I56" s="172"/>
      <c r="J56" s="172"/>
      <c r="K56" s="172"/>
      <c r="L56" s="172"/>
      <c r="M56" s="177">
        <f>M44+M53</f>
        <v>255645.00299505456</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385</v>
      </c>
      <c r="C58" s="172"/>
      <c r="D58" s="172"/>
      <c r="E58" s="172"/>
      <c r="F58" s="173"/>
      <c r="G58" s="172"/>
      <c r="H58" s="173"/>
      <c r="I58" s="172"/>
      <c r="J58" s="172"/>
      <c r="K58" s="172"/>
      <c r="L58" s="172"/>
      <c r="M58" s="172"/>
      <c r="N58" s="88"/>
      <c r="O58" s="174"/>
    </row>
    <row r="59" spans="1:15" ht="18" customHeight="1" x14ac:dyDescent="0.3">
      <c r="A59" s="178" t="s">
        <v>178</v>
      </c>
      <c r="C59" s="172"/>
      <c r="D59" s="172"/>
      <c r="E59" s="172"/>
      <c r="F59" s="173"/>
      <c r="G59" s="172"/>
      <c r="H59" s="173"/>
      <c r="I59" s="172"/>
      <c r="J59" s="172"/>
      <c r="K59" s="172"/>
      <c r="L59" s="172"/>
      <c r="M59" s="172"/>
      <c r="N59" s="88"/>
      <c r="O59" s="174"/>
    </row>
    <row r="60" spans="1:15" ht="20.100000000000001" customHeight="1" x14ac:dyDescent="0.3">
      <c r="A60" s="82" t="s">
        <v>179</v>
      </c>
      <c r="C60" s="173"/>
      <c r="D60" s="173"/>
      <c r="E60" s="173"/>
      <c r="F60" s="173"/>
      <c r="G60" s="173"/>
      <c r="H60" s="173"/>
      <c r="I60" s="173"/>
      <c r="J60" s="173"/>
      <c r="K60" s="173"/>
      <c r="L60" s="173"/>
      <c r="M60" s="173"/>
      <c r="N60" s="88"/>
      <c r="O60" s="174"/>
    </row>
    <row r="61" spans="1:15" ht="20.100000000000001" customHeight="1" x14ac:dyDescent="0.3">
      <c r="A61" s="61" t="s">
        <v>386</v>
      </c>
      <c r="C61" s="171"/>
      <c r="D61" s="172"/>
      <c r="E61" s="171"/>
      <c r="F61" s="173"/>
      <c r="G61" s="171"/>
      <c r="H61" s="173"/>
      <c r="I61" s="172"/>
      <c r="J61" s="172"/>
      <c r="K61" s="172"/>
      <c r="L61" s="172"/>
      <c r="M61" s="171">
        <f>+C61-E61+G61</f>
        <v>0</v>
      </c>
      <c r="O61" s="174" t="s">
        <v>387</v>
      </c>
    </row>
    <row r="62" spans="1:15" ht="20.100000000000001" customHeight="1" x14ac:dyDescent="0.3">
      <c r="A62" s="61" t="s">
        <v>388</v>
      </c>
      <c r="C62" s="171"/>
      <c r="D62" s="172"/>
      <c r="E62" s="171"/>
      <c r="F62" s="173"/>
      <c r="G62" s="171"/>
      <c r="H62" s="173"/>
      <c r="I62" s="172"/>
      <c r="J62" s="172"/>
      <c r="K62" s="172"/>
      <c r="L62" s="172"/>
      <c r="M62" s="171">
        <f t="shared" ref="M62:M85" si="2">+C62-E62+G62</f>
        <v>0</v>
      </c>
      <c r="O62" s="174" t="s">
        <v>387</v>
      </c>
    </row>
    <row r="63" spans="1:15" ht="20.100000000000001" customHeight="1" x14ac:dyDescent="0.3">
      <c r="A63" s="61" t="s">
        <v>389</v>
      </c>
      <c r="C63" s="171"/>
      <c r="D63" s="172"/>
      <c r="E63" s="171"/>
      <c r="F63" s="173"/>
      <c r="G63" s="171"/>
      <c r="H63" s="173"/>
      <c r="I63" s="172"/>
      <c r="J63" s="172"/>
      <c r="K63" s="172"/>
      <c r="L63" s="172"/>
      <c r="M63" s="171">
        <f t="shared" si="2"/>
        <v>0</v>
      </c>
      <c r="O63" s="174" t="s">
        <v>390</v>
      </c>
    </row>
    <row r="64" spans="1:15" ht="20.100000000000001" customHeight="1" x14ac:dyDescent="0.3">
      <c r="A64" s="61" t="s">
        <v>391</v>
      </c>
      <c r="C64" s="171"/>
      <c r="D64" s="172"/>
      <c r="E64" s="171"/>
      <c r="F64" s="173"/>
      <c r="G64" s="171"/>
      <c r="H64" s="173"/>
      <c r="I64" s="172"/>
      <c r="J64" s="172"/>
      <c r="K64" s="172"/>
      <c r="L64" s="172"/>
      <c r="M64" s="171">
        <f t="shared" si="2"/>
        <v>0</v>
      </c>
      <c r="O64" s="174" t="s">
        <v>390</v>
      </c>
    </row>
    <row r="65" spans="1:15" ht="20.100000000000001" customHeight="1" x14ac:dyDescent="0.3">
      <c r="A65" s="61" t="s">
        <v>392</v>
      </c>
      <c r="C65" s="171"/>
      <c r="D65" s="172"/>
      <c r="E65" s="171"/>
      <c r="F65" s="173"/>
      <c r="G65" s="171"/>
      <c r="H65" s="173"/>
      <c r="I65" s="172"/>
      <c r="J65" s="172"/>
      <c r="K65" s="172"/>
      <c r="L65" s="172"/>
      <c r="M65" s="171">
        <f t="shared" si="2"/>
        <v>0</v>
      </c>
      <c r="O65" s="174" t="s">
        <v>390</v>
      </c>
    </row>
    <row r="66" spans="1:15" ht="20.100000000000001" customHeight="1" x14ac:dyDescent="0.3">
      <c r="A66" s="61" t="s">
        <v>393</v>
      </c>
      <c r="C66" s="171"/>
      <c r="D66" s="172"/>
      <c r="E66" s="171"/>
      <c r="F66" s="173"/>
      <c r="G66" s="171"/>
      <c r="H66" s="173"/>
      <c r="I66" s="172"/>
      <c r="J66" s="172"/>
      <c r="K66" s="172"/>
      <c r="L66" s="172"/>
      <c r="M66" s="171">
        <f t="shared" si="2"/>
        <v>0</v>
      </c>
      <c r="O66" s="174" t="s">
        <v>390</v>
      </c>
    </row>
    <row r="67" spans="1:15" ht="20.100000000000001" customHeight="1" x14ac:dyDescent="0.3">
      <c r="A67" s="61" t="s">
        <v>394</v>
      </c>
      <c r="C67" s="171"/>
      <c r="D67" s="172"/>
      <c r="E67" s="171"/>
      <c r="F67" s="173"/>
      <c r="G67" s="171"/>
      <c r="H67" s="173"/>
      <c r="I67" s="172"/>
      <c r="J67" s="172"/>
      <c r="K67" s="172"/>
      <c r="L67" s="172"/>
      <c r="M67" s="171">
        <f t="shared" si="2"/>
        <v>0</v>
      </c>
      <c r="O67" s="174" t="s">
        <v>390</v>
      </c>
    </row>
    <row r="68" spans="1:15" ht="20.100000000000001" customHeight="1" x14ac:dyDescent="0.3">
      <c r="A68" s="61" t="s">
        <v>395</v>
      </c>
      <c r="C68" s="171"/>
      <c r="D68" s="172"/>
      <c r="E68" s="171"/>
      <c r="F68" s="173"/>
      <c r="G68" s="171"/>
      <c r="H68" s="173"/>
      <c r="I68" s="172"/>
      <c r="J68" s="172"/>
      <c r="K68" s="172"/>
      <c r="L68" s="172"/>
      <c r="M68" s="171">
        <f t="shared" si="2"/>
        <v>0</v>
      </c>
      <c r="O68" s="174" t="s">
        <v>360</v>
      </c>
    </row>
    <row r="69" spans="1:15" ht="20.100000000000001" customHeight="1" x14ac:dyDescent="0.3">
      <c r="A69" s="61" t="s">
        <v>396</v>
      </c>
      <c r="C69" s="171"/>
      <c r="D69" s="172"/>
      <c r="E69" s="171"/>
      <c r="F69" s="173"/>
      <c r="G69" s="171"/>
      <c r="H69" s="173"/>
      <c r="I69" s="172"/>
      <c r="J69" s="172"/>
      <c r="K69" s="172"/>
      <c r="L69" s="172"/>
      <c r="M69" s="171">
        <f t="shared" si="2"/>
        <v>0</v>
      </c>
      <c r="O69" s="174" t="s">
        <v>390</v>
      </c>
    </row>
    <row r="70" spans="1:15" ht="20.100000000000001" customHeight="1" x14ac:dyDescent="0.3">
      <c r="A70" s="61" t="s">
        <v>397</v>
      </c>
      <c r="C70" s="171"/>
      <c r="D70" s="172"/>
      <c r="E70" s="171"/>
      <c r="F70" s="173"/>
      <c r="G70" s="171"/>
      <c r="H70" s="173"/>
      <c r="I70" s="172"/>
      <c r="J70" s="172"/>
      <c r="K70" s="172"/>
      <c r="L70" s="172"/>
      <c r="M70" s="171">
        <f t="shared" si="2"/>
        <v>0</v>
      </c>
      <c r="O70" s="174" t="s">
        <v>390</v>
      </c>
    </row>
    <row r="71" spans="1:15" ht="20.100000000000001" customHeight="1" x14ac:dyDescent="0.3">
      <c r="A71" s="61" t="s">
        <v>398</v>
      </c>
      <c r="C71" s="171"/>
      <c r="D71" s="172"/>
      <c r="E71" s="171"/>
      <c r="F71" s="173"/>
      <c r="G71" s="171"/>
      <c r="H71" s="173"/>
      <c r="I71" s="172"/>
      <c r="J71" s="172"/>
      <c r="K71" s="172"/>
      <c r="L71" s="172"/>
      <c r="M71" s="171">
        <f t="shared" si="2"/>
        <v>0</v>
      </c>
      <c r="O71" s="174" t="s">
        <v>390</v>
      </c>
    </row>
    <row r="72" spans="1:15" ht="20.100000000000001" customHeight="1" x14ac:dyDescent="0.3">
      <c r="A72" s="61" t="s">
        <v>399</v>
      </c>
      <c r="C72" s="171"/>
      <c r="D72" s="172"/>
      <c r="E72" s="171"/>
      <c r="F72" s="173"/>
      <c r="G72" s="171"/>
      <c r="H72" s="173"/>
      <c r="I72" s="172"/>
      <c r="J72" s="172"/>
      <c r="K72" s="172"/>
      <c r="L72" s="172"/>
      <c r="M72" s="171">
        <f t="shared" si="2"/>
        <v>0</v>
      </c>
      <c r="O72" s="174" t="s">
        <v>390</v>
      </c>
    </row>
    <row r="73" spans="1:15" ht="20.100000000000001" customHeight="1" x14ac:dyDescent="0.3">
      <c r="A73" s="61" t="s">
        <v>400</v>
      </c>
      <c r="C73" s="171"/>
      <c r="D73" s="172"/>
      <c r="E73" s="171"/>
      <c r="F73" s="173"/>
      <c r="G73" s="171"/>
      <c r="H73" s="173"/>
      <c r="I73" s="172"/>
      <c r="J73" s="172"/>
      <c r="K73" s="172"/>
      <c r="L73" s="172"/>
      <c r="M73" s="171">
        <f t="shared" si="2"/>
        <v>0</v>
      </c>
      <c r="O73" s="174" t="s">
        <v>401</v>
      </c>
    </row>
    <row r="74" spans="1:15" ht="20.100000000000001" customHeight="1" x14ac:dyDescent="0.3">
      <c r="A74" s="61" t="s">
        <v>402</v>
      </c>
      <c r="C74" s="171"/>
      <c r="D74" s="172"/>
      <c r="E74" s="171"/>
      <c r="F74" s="173"/>
      <c r="G74" s="171"/>
      <c r="H74" s="173"/>
      <c r="I74" s="172"/>
      <c r="J74" s="172"/>
      <c r="K74" s="172"/>
      <c r="L74" s="172"/>
      <c r="M74" s="171">
        <f t="shared" si="2"/>
        <v>0</v>
      </c>
      <c r="O74" s="174" t="s">
        <v>390</v>
      </c>
    </row>
    <row r="75" spans="1:15" ht="20.100000000000001" customHeight="1" x14ac:dyDescent="0.3">
      <c r="A75" s="61" t="s">
        <v>403</v>
      </c>
      <c r="C75" s="171"/>
      <c r="D75" s="172"/>
      <c r="E75" s="171"/>
      <c r="F75" s="173"/>
      <c r="G75" s="171"/>
      <c r="H75" s="173"/>
      <c r="I75" s="172"/>
      <c r="J75" s="172"/>
      <c r="K75" s="172"/>
      <c r="L75" s="172"/>
      <c r="M75" s="171">
        <f t="shared" si="2"/>
        <v>0</v>
      </c>
      <c r="O75" s="174" t="s">
        <v>390</v>
      </c>
    </row>
    <row r="76" spans="1:15" ht="20.100000000000001" customHeight="1" x14ac:dyDescent="0.3">
      <c r="A76" s="61" t="s">
        <v>404</v>
      </c>
      <c r="C76" s="171"/>
      <c r="D76" s="172"/>
      <c r="E76" s="171"/>
      <c r="F76" s="173"/>
      <c r="G76" s="171"/>
      <c r="H76" s="173"/>
      <c r="I76" s="172"/>
      <c r="J76" s="172"/>
      <c r="K76" s="172"/>
      <c r="L76" s="172"/>
      <c r="M76" s="171">
        <f t="shared" si="2"/>
        <v>0</v>
      </c>
      <c r="O76" s="174" t="s">
        <v>390</v>
      </c>
    </row>
    <row r="77" spans="1:15" ht="20.100000000000001" customHeight="1" x14ac:dyDescent="0.3">
      <c r="A77" s="61" t="s">
        <v>405</v>
      </c>
      <c r="B77" s="88"/>
      <c r="C77" s="171"/>
      <c r="D77" s="172"/>
      <c r="E77" s="171"/>
      <c r="F77" s="173"/>
      <c r="G77" s="171"/>
      <c r="H77" s="173"/>
      <c r="I77" s="172"/>
      <c r="J77" s="172"/>
      <c r="K77" s="172"/>
      <c r="L77" s="172"/>
      <c r="M77" s="171">
        <f t="shared" si="2"/>
        <v>0</v>
      </c>
      <c r="N77" s="88"/>
      <c r="O77" s="174" t="s">
        <v>390</v>
      </c>
    </row>
    <row r="78" spans="1:15" ht="20.100000000000001" customHeight="1" x14ac:dyDescent="0.3">
      <c r="A78" s="61" t="s">
        <v>406</v>
      </c>
      <c r="C78" s="171"/>
      <c r="D78" s="172"/>
      <c r="E78" s="171"/>
      <c r="F78" s="173"/>
      <c r="G78" s="171"/>
      <c r="H78" s="173"/>
      <c r="I78" s="172"/>
      <c r="J78" s="172"/>
      <c r="K78" s="172"/>
      <c r="L78" s="172"/>
      <c r="M78" s="171">
        <f t="shared" si="2"/>
        <v>0</v>
      </c>
      <c r="O78" s="174" t="s">
        <v>390</v>
      </c>
    </row>
    <row r="79" spans="1:15" ht="20.100000000000001" customHeight="1" x14ac:dyDescent="0.3">
      <c r="A79" s="61" t="s">
        <v>407</v>
      </c>
      <c r="C79" s="171"/>
      <c r="D79" s="172"/>
      <c r="E79" s="171"/>
      <c r="F79" s="173"/>
      <c r="G79" s="171"/>
      <c r="H79" s="173"/>
      <c r="I79" s="172"/>
      <c r="J79" s="172"/>
      <c r="K79" s="172"/>
      <c r="L79" s="172"/>
      <c r="M79" s="171">
        <f t="shared" si="2"/>
        <v>0</v>
      </c>
      <c r="O79" s="174" t="s">
        <v>390</v>
      </c>
    </row>
    <row r="80" spans="1:15" ht="20.100000000000001" customHeight="1" x14ac:dyDescent="0.3">
      <c r="A80" s="82" t="s">
        <v>408</v>
      </c>
      <c r="C80" s="171"/>
      <c r="D80" s="172"/>
      <c r="E80" s="171"/>
      <c r="F80" s="173"/>
      <c r="G80" s="171"/>
      <c r="H80" s="173"/>
      <c r="I80" s="172"/>
      <c r="J80" s="172"/>
      <c r="K80" s="172"/>
      <c r="L80" s="172"/>
      <c r="M80" s="171">
        <f t="shared" si="2"/>
        <v>0</v>
      </c>
      <c r="O80" s="174" t="s">
        <v>390</v>
      </c>
    </row>
    <row r="81" spans="1:15" ht="20.100000000000001" customHeight="1" x14ac:dyDescent="0.3">
      <c r="A81" s="61" t="s">
        <v>409</v>
      </c>
      <c r="C81" s="171"/>
      <c r="D81" s="172"/>
      <c r="E81" s="171"/>
      <c r="F81" s="173"/>
      <c r="G81" s="171"/>
      <c r="H81" s="173"/>
      <c r="I81" s="172"/>
      <c r="J81" s="172"/>
      <c r="K81" s="172"/>
      <c r="L81" s="172"/>
      <c r="M81" s="171">
        <f t="shared" si="2"/>
        <v>0</v>
      </c>
      <c r="O81" s="174" t="s">
        <v>390</v>
      </c>
    </row>
    <row r="82" spans="1:15" ht="20.100000000000001" customHeight="1" x14ac:dyDescent="0.3">
      <c r="A82" s="61" t="s">
        <v>410</v>
      </c>
      <c r="C82" s="171"/>
      <c r="D82" s="172"/>
      <c r="E82" s="171"/>
      <c r="F82" s="173"/>
      <c r="G82" s="171"/>
      <c r="H82" s="173"/>
      <c r="I82" s="172"/>
      <c r="J82" s="172"/>
      <c r="K82" s="172"/>
      <c r="L82" s="172"/>
      <c r="M82" s="171">
        <f t="shared" si="2"/>
        <v>0</v>
      </c>
      <c r="O82" s="174" t="s">
        <v>390</v>
      </c>
    </row>
    <row r="83" spans="1:15" ht="20.100000000000001" customHeight="1" x14ac:dyDescent="0.3">
      <c r="A83" s="61" t="s">
        <v>411</v>
      </c>
      <c r="C83" s="171"/>
      <c r="D83" s="172"/>
      <c r="E83" s="171"/>
      <c r="F83" s="173"/>
      <c r="G83" s="171"/>
      <c r="H83" s="173"/>
      <c r="I83" s="172"/>
      <c r="J83" s="172"/>
      <c r="K83" s="172"/>
      <c r="L83" s="172"/>
      <c r="M83" s="171">
        <f t="shared" si="2"/>
        <v>0</v>
      </c>
      <c r="O83" s="174" t="s">
        <v>390</v>
      </c>
    </row>
    <row r="84" spans="1:15" ht="20.100000000000001" customHeight="1" x14ac:dyDescent="0.3">
      <c r="A84" s="61" t="s">
        <v>412</v>
      </c>
      <c r="C84" s="171"/>
      <c r="D84" s="172"/>
      <c r="E84" s="171"/>
      <c r="F84" s="173"/>
      <c r="G84" s="171"/>
      <c r="H84" s="173"/>
      <c r="I84" s="172"/>
      <c r="J84" s="172"/>
      <c r="K84" s="172"/>
      <c r="L84" s="172"/>
      <c r="M84" s="171">
        <f>+C84-E84+G84</f>
        <v>0</v>
      </c>
      <c r="O84" s="179" t="s">
        <v>401</v>
      </c>
    </row>
    <row r="85" spans="1:15" ht="20.100000000000001" customHeight="1" x14ac:dyDescent="0.3">
      <c r="A85" s="61" t="s">
        <v>413</v>
      </c>
      <c r="C85" s="171"/>
      <c r="D85" s="172"/>
      <c r="E85" s="171"/>
      <c r="F85" s="173"/>
      <c r="G85" s="171"/>
      <c r="H85" s="173"/>
      <c r="I85" s="172"/>
      <c r="J85" s="172"/>
      <c r="K85" s="172"/>
      <c r="L85" s="172"/>
      <c r="M85" s="171">
        <f t="shared" si="2"/>
        <v>0</v>
      </c>
      <c r="O85" s="174" t="s">
        <v>360</v>
      </c>
    </row>
    <row r="86" spans="1:15" ht="20.100000000000001" customHeight="1" x14ac:dyDescent="0.3">
      <c r="A86" s="61" t="s">
        <v>414</v>
      </c>
      <c r="C86" s="173"/>
      <c r="D86" s="173"/>
      <c r="E86" s="173"/>
      <c r="F86" s="173"/>
      <c r="G86" s="173"/>
      <c r="H86" s="173"/>
      <c r="I86" s="173"/>
      <c r="J86" s="173"/>
      <c r="K86" s="173"/>
      <c r="L86" s="173"/>
      <c r="M86" s="173"/>
      <c r="O86" s="174"/>
    </row>
    <row r="87" spans="1:15" ht="20.100000000000001" customHeight="1" x14ac:dyDescent="0.3">
      <c r="A87" s="61" t="s">
        <v>415</v>
      </c>
      <c r="C87" s="171"/>
      <c r="D87" s="172"/>
      <c r="E87" s="171"/>
      <c r="F87" s="173"/>
      <c r="G87" s="171"/>
      <c r="H87" s="173"/>
      <c r="I87" s="172"/>
      <c r="J87" s="172"/>
      <c r="K87" s="172"/>
      <c r="L87" s="172"/>
      <c r="M87" s="171">
        <f>+C87-E87-E88-E89+G87+G88+G89</f>
        <v>0</v>
      </c>
      <c r="N87" s="86"/>
      <c r="O87" s="179" t="s">
        <v>401</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416</v>
      </c>
      <c r="C90" s="171"/>
      <c r="D90" s="172"/>
      <c r="E90" s="171"/>
      <c r="F90" s="173"/>
      <c r="G90" s="194">
        <f>Reconciliations!D7</f>
        <v>0</v>
      </c>
      <c r="H90" s="173" t="s">
        <v>125</v>
      </c>
      <c r="I90" s="172"/>
      <c r="J90" s="172"/>
      <c r="K90" s="172"/>
      <c r="L90" s="172"/>
      <c r="M90" s="171">
        <f>+C90-E90-E91-E92+G90+G91+G92</f>
        <v>0</v>
      </c>
      <c r="N90" s="86"/>
      <c r="O90" s="187" t="s">
        <v>417</v>
      </c>
    </row>
    <row r="91" spans="1:15" ht="20.100000000000001" customHeight="1" x14ac:dyDescent="0.3">
      <c r="C91" s="172"/>
      <c r="D91" s="172"/>
      <c r="E91" s="195">
        <f>Reconciliations!C18</f>
        <v>0</v>
      </c>
      <c r="F91" s="173" t="s">
        <v>133</v>
      </c>
      <c r="G91" s="195">
        <f>Reconciliations!D18</f>
        <v>0</v>
      </c>
      <c r="H91" s="173" t="s">
        <v>133</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180</v>
      </c>
      <c r="C94" s="176">
        <f>+SUM(C61:C93)</f>
        <v>0</v>
      </c>
      <c r="D94" s="172"/>
      <c r="E94" s="176">
        <f>+SUM(E61:E93)</f>
        <v>0</v>
      </c>
      <c r="F94" s="173"/>
      <c r="G94" s="176">
        <f>+SUM(G61:G93)</f>
        <v>0</v>
      </c>
      <c r="H94" s="173"/>
      <c r="I94" s="172"/>
      <c r="J94" s="172"/>
      <c r="K94" s="172"/>
      <c r="L94" s="172"/>
      <c r="M94" s="176">
        <f>+SUM(M61:M93)</f>
        <v>0</v>
      </c>
      <c r="O94" s="61" t="s">
        <v>180</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181</v>
      </c>
      <c r="C96" s="172"/>
      <c r="D96" s="172"/>
      <c r="E96" s="172"/>
      <c r="F96" s="173"/>
      <c r="G96" s="172"/>
      <c r="H96" s="173"/>
      <c r="I96" s="172"/>
      <c r="J96" s="172"/>
      <c r="K96" s="172"/>
      <c r="L96" s="172"/>
      <c r="M96" s="172"/>
      <c r="O96" s="174"/>
    </row>
    <row r="97" spans="1:15" ht="20.100000000000001" customHeight="1" x14ac:dyDescent="0.3">
      <c r="A97" s="61" t="s">
        <v>418</v>
      </c>
      <c r="C97" s="171"/>
      <c r="D97" s="172"/>
      <c r="E97" s="171"/>
      <c r="F97" s="173"/>
      <c r="G97" s="171"/>
      <c r="H97" s="173"/>
      <c r="I97" s="172"/>
      <c r="J97" s="172"/>
      <c r="K97" s="172"/>
      <c r="L97" s="172"/>
      <c r="M97" s="171">
        <f>+C97-E97+G97</f>
        <v>0</v>
      </c>
      <c r="O97" s="167" t="s">
        <v>419</v>
      </c>
    </row>
    <row r="98" spans="1:15" ht="20.100000000000001" customHeight="1" x14ac:dyDescent="0.3">
      <c r="A98" s="61" t="s">
        <v>420</v>
      </c>
      <c r="C98" s="171"/>
      <c r="D98" s="172"/>
      <c r="E98" s="171"/>
      <c r="F98" s="173"/>
      <c r="G98" s="171"/>
      <c r="H98" s="173"/>
      <c r="I98" s="172"/>
      <c r="J98" s="172"/>
      <c r="K98" s="172"/>
      <c r="L98" s="172"/>
      <c r="M98" s="171">
        <f>+C98-E98+G98</f>
        <v>0</v>
      </c>
      <c r="O98" s="167" t="s">
        <v>421</v>
      </c>
    </row>
    <row r="99" spans="1:15" ht="20.100000000000001" customHeight="1" x14ac:dyDescent="0.3">
      <c r="A99" s="58" t="s">
        <v>422</v>
      </c>
      <c r="C99" s="175"/>
      <c r="D99" s="172"/>
      <c r="E99" s="194"/>
      <c r="F99" s="173"/>
      <c r="G99" s="194">
        <f>Reconciliations!D8</f>
        <v>168383.63505680001</v>
      </c>
      <c r="H99" s="173" t="s">
        <v>125</v>
      </c>
      <c r="I99" s="172"/>
      <c r="J99" s="172"/>
      <c r="K99" s="172"/>
      <c r="L99" s="172"/>
      <c r="M99" s="175">
        <f>+C99-E99-E100+G99+G100</f>
        <v>138152.48051515999</v>
      </c>
      <c r="O99" s="184" t="s">
        <v>159</v>
      </c>
    </row>
    <row r="100" spans="1:15" ht="20.100000000000001" customHeight="1" x14ac:dyDescent="0.3">
      <c r="C100" s="172"/>
      <c r="D100" s="172"/>
      <c r="E100" s="194">
        <f>Reconciliations!C19</f>
        <v>29245.834541640012</v>
      </c>
      <c r="F100" s="173" t="s">
        <v>133</v>
      </c>
      <c r="G100" s="194">
        <f>Reconciliations!D19</f>
        <v>-985.32</v>
      </c>
      <c r="H100" s="173" t="s">
        <v>133</v>
      </c>
      <c r="I100" s="172"/>
      <c r="J100" s="172"/>
      <c r="K100" s="172"/>
      <c r="L100" s="172"/>
      <c r="M100" s="172"/>
    </row>
    <row r="101" spans="1:15" ht="20.100000000000001" customHeight="1" x14ac:dyDescent="0.3">
      <c r="A101" s="61" t="s">
        <v>423</v>
      </c>
      <c r="C101" s="171"/>
      <c r="D101" s="172"/>
      <c r="E101" s="171"/>
      <c r="F101" s="173"/>
      <c r="G101" s="171"/>
      <c r="H101" s="173"/>
      <c r="I101" s="172"/>
      <c r="J101" s="172"/>
      <c r="K101" s="172"/>
      <c r="L101" s="172"/>
      <c r="M101" s="171">
        <f>+C101-E101+G101</f>
        <v>0</v>
      </c>
      <c r="O101" s="167" t="s">
        <v>182</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183</v>
      </c>
      <c r="C103" s="176">
        <f>SUM(C97:C102)</f>
        <v>0</v>
      </c>
      <c r="D103" s="172"/>
      <c r="E103" s="176">
        <f>SUM(E97:E102)</f>
        <v>29245.834541640012</v>
      </c>
      <c r="F103" s="173"/>
      <c r="G103" s="176">
        <f>SUM(G97:G102)</f>
        <v>167398.3150568</v>
      </c>
      <c r="H103" s="173"/>
      <c r="I103" s="172"/>
      <c r="J103" s="172"/>
      <c r="K103" s="172"/>
      <c r="L103" s="172"/>
      <c r="M103" s="176">
        <f>SUM(M97:M102)</f>
        <v>138152.48051515999</v>
      </c>
      <c r="O103" s="167" t="s">
        <v>183</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184</v>
      </c>
      <c r="C105" s="172"/>
      <c r="D105" s="172"/>
      <c r="E105" s="172"/>
      <c r="F105" s="173"/>
      <c r="G105" s="172"/>
      <c r="H105" s="173"/>
      <c r="I105" s="172"/>
      <c r="J105" s="172"/>
      <c r="K105" s="172"/>
      <c r="L105" s="172"/>
      <c r="M105" s="172"/>
      <c r="O105" s="174"/>
    </row>
    <row r="106" spans="1:15" ht="18" customHeight="1" x14ac:dyDescent="0.3">
      <c r="A106" s="61" t="s">
        <v>424</v>
      </c>
      <c r="C106" s="171"/>
      <c r="D106" s="172"/>
      <c r="E106" s="171"/>
      <c r="F106" s="173"/>
      <c r="G106" s="171"/>
      <c r="H106" s="173"/>
      <c r="I106" s="172"/>
      <c r="J106" s="172"/>
      <c r="K106" s="172"/>
      <c r="L106" s="172"/>
      <c r="M106" s="171">
        <f>+C106-E106+G106</f>
        <v>0</v>
      </c>
      <c r="O106" s="174"/>
    </row>
    <row r="107" spans="1:15" ht="18" customHeight="1" x14ac:dyDescent="0.3">
      <c r="A107" s="61" t="s">
        <v>425</v>
      </c>
      <c r="C107" s="171"/>
      <c r="D107" s="172"/>
      <c r="E107" s="171"/>
      <c r="F107" s="173"/>
      <c r="G107" s="171"/>
      <c r="H107" s="173"/>
      <c r="I107" s="172"/>
      <c r="J107" s="172"/>
      <c r="K107" s="172"/>
      <c r="L107" s="172"/>
      <c r="M107" s="171">
        <f>+C107-E107+G107</f>
        <v>0</v>
      </c>
      <c r="O107" s="174"/>
    </row>
    <row r="108" spans="1:15" ht="18" customHeight="1" x14ac:dyDescent="0.3">
      <c r="A108" s="61" t="s">
        <v>426</v>
      </c>
      <c r="C108" s="171"/>
      <c r="D108" s="172"/>
      <c r="E108" s="171"/>
      <c r="F108" s="173"/>
      <c r="G108" s="171"/>
      <c r="H108" s="173"/>
      <c r="I108" s="172"/>
      <c r="J108" s="172"/>
      <c r="K108" s="172"/>
      <c r="L108" s="172"/>
      <c r="M108" s="171">
        <f>+C108-E108+G108</f>
        <v>0</v>
      </c>
      <c r="N108" s="88"/>
      <c r="O108" s="174"/>
    </row>
    <row r="109" spans="1:15" ht="18" customHeight="1" x14ac:dyDescent="0.3">
      <c r="A109" s="61" t="s">
        <v>427</v>
      </c>
      <c r="C109" s="171"/>
      <c r="D109" s="172"/>
      <c r="E109" s="171"/>
      <c r="F109" s="173"/>
      <c r="G109" s="171"/>
      <c r="H109" s="173"/>
      <c r="I109" s="172"/>
      <c r="J109" s="172"/>
      <c r="K109" s="172"/>
      <c r="L109" s="172"/>
      <c r="M109" s="171">
        <f>+C109-E109+G109</f>
        <v>0</v>
      </c>
      <c r="O109" s="174"/>
    </row>
    <row r="110" spans="1:15" ht="18" customHeight="1" x14ac:dyDescent="0.3">
      <c r="A110" s="61" t="s">
        <v>428</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429</v>
      </c>
      <c r="C112" s="172"/>
      <c r="D112" s="172"/>
      <c r="E112" s="172"/>
      <c r="F112" s="173"/>
      <c r="G112" s="172"/>
      <c r="H112" s="173"/>
      <c r="I112" s="172"/>
      <c r="J112" s="172"/>
      <c r="K112" s="172"/>
      <c r="L112" s="172"/>
      <c r="M112" s="172"/>
      <c r="N112" s="88"/>
      <c r="O112" s="174"/>
    </row>
    <row r="113" spans="1:15" ht="14.25" customHeight="1" x14ac:dyDescent="0.3">
      <c r="A113" s="92" t="s">
        <v>430</v>
      </c>
      <c r="C113" s="171"/>
      <c r="D113" s="172"/>
      <c r="E113" s="171"/>
      <c r="F113" s="173"/>
      <c r="G113" s="171"/>
      <c r="H113" s="173"/>
      <c r="I113" s="172"/>
      <c r="J113" s="172"/>
      <c r="K113" s="172"/>
      <c r="L113" s="172"/>
      <c r="M113" s="171">
        <f>+C113-E113-E114-E115+G113+G114+G115</f>
        <v>0</v>
      </c>
      <c r="N113" s="88"/>
      <c r="O113" s="180" t="s">
        <v>185</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431</v>
      </c>
      <c r="C116" s="172"/>
      <c r="D116" s="172"/>
      <c r="E116" s="172"/>
      <c r="F116" s="173"/>
      <c r="G116" s="172"/>
      <c r="H116" s="173"/>
      <c r="I116" s="172"/>
      <c r="J116" s="172"/>
      <c r="K116" s="172"/>
      <c r="L116" s="172"/>
      <c r="M116" s="172"/>
      <c r="N116" s="88"/>
      <c r="O116" s="174"/>
    </row>
    <row r="117" spans="1:15" ht="14.25" customHeight="1" x14ac:dyDescent="0.3">
      <c r="A117" s="61" t="s">
        <v>432</v>
      </c>
      <c r="C117" s="171"/>
      <c r="D117" s="172"/>
      <c r="E117" s="171"/>
      <c r="F117" s="173"/>
      <c r="G117" s="171"/>
      <c r="H117" s="173"/>
      <c r="I117" s="172"/>
      <c r="J117" s="172"/>
      <c r="K117" s="172"/>
      <c r="L117" s="172"/>
      <c r="M117" s="171">
        <f>+C117-E117+G117</f>
        <v>0</v>
      </c>
      <c r="N117" s="88"/>
      <c r="O117" s="180" t="s">
        <v>433</v>
      </c>
    </row>
    <row r="118" spans="1:15" ht="14.25" customHeight="1" x14ac:dyDescent="0.3">
      <c r="A118" s="61" t="s">
        <v>434</v>
      </c>
      <c r="C118" s="171"/>
      <c r="D118" s="172"/>
      <c r="E118" s="171"/>
      <c r="F118" s="173"/>
      <c r="G118" s="171"/>
      <c r="H118" s="173"/>
      <c r="I118" s="172"/>
      <c r="J118" s="172"/>
      <c r="K118" s="172"/>
      <c r="L118" s="172"/>
      <c r="M118" s="171">
        <f>+C118-E118+G118</f>
        <v>0</v>
      </c>
      <c r="N118" s="88"/>
      <c r="O118" s="180" t="s">
        <v>435</v>
      </c>
    </row>
    <row r="119" spans="1:15" ht="14.25" customHeight="1" x14ac:dyDescent="0.3">
      <c r="A119" s="61" t="s">
        <v>436</v>
      </c>
      <c r="C119" s="171"/>
      <c r="D119" s="172"/>
      <c r="E119" s="171"/>
      <c r="F119" s="173"/>
      <c r="G119" s="171"/>
      <c r="H119" s="173"/>
      <c r="I119" s="172"/>
      <c r="J119" s="172"/>
      <c r="K119" s="172"/>
      <c r="L119" s="172"/>
      <c r="M119" s="171">
        <f>+C119-E119+G119</f>
        <v>0</v>
      </c>
      <c r="N119" s="88"/>
      <c r="O119" s="180" t="s">
        <v>437</v>
      </c>
    </row>
    <row r="120" spans="1:15" ht="14.25" customHeight="1" x14ac:dyDescent="0.3">
      <c r="A120" s="58" t="s">
        <v>438</v>
      </c>
      <c r="C120" s="175"/>
      <c r="D120" s="172"/>
      <c r="E120" s="194">
        <f>Reconciliations!C11</f>
        <v>0</v>
      </c>
      <c r="F120" s="173" t="s">
        <v>125</v>
      </c>
      <c r="G120" s="194">
        <f>Reconciliations!D9</f>
        <v>67810.908684599985</v>
      </c>
      <c r="H120" s="173" t="s">
        <v>125</v>
      </c>
      <c r="I120" s="172"/>
      <c r="J120" s="172"/>
      <c r="K120" s="172"/>
      <c r="L120" s="172"/>
      <c r="M120" s="175">
        <f>+C120-E120-E121-E122+G120+G121+G122</f>
        <v>117492.52247989453</v>
      </c>
      <c r="N120" s="88"/>
      <c r="O120" s="186" t="s">
        <v>780</v>
      </c>
    </row>
    <row r="121" spans="1:15" ht="14.25" customHeight="1" x14ac:dyDescent="0.3">
      <c r="C121" s="172"/>
      <c r="D121" s="172"/>
      <c r="E121" s="194">
        <f>Reconciliations!C20</f>
        <v>0</v>
      </c>
      <c r="F121" s="173" t="s">
        <v>133</v>
      </c>
      <c r="G121" s="194">
        <f>Reconciliations!D20</f>
        <v>49136.873795294538</v>
      </c>
      <c r="H121" s="173" t="s">
        <v>133</v>
      </c>
      <c r="I121" s="172"/>
      <c r="J121" s="172"/>
      <c r="K121" s="172"/>
      <c r="L121" s="172"/>
      <c r="M121" s="172"/>
      <c r="N121" s="88"/>
      <c r="O121" s="180"/>
    </row>
    <row r="122" spans="1:15" ht="14.25" customHeight="1" x14ac:dyDescent="0.3">
      <c r="C122" s="172"/>
      <c r="D122" s="172"/>
      <c r="E122" s="194">
        <f>Reconciliations!C35</f>
        <v>27238.5</v>
      </c>
      <c r="F122" s="173" t="s">
        <v>138</v>
      </c>
      <c r="G122" s="194">
        <f>Reconciliations!D50</f>
        <v>27783.24</v>
      </c>
      <c r="H122" s="173" t="s">
        <v>140</v>
      </c>
      <c r="I122" s="172"/>
      <c r="J122" s="172"/>
      <c r="K122" s="172"/>
      <c r="L122" s="172"/>
      <c r="M122" s="172"/>
      <c r="N122" s="88"/>
      <c r="O122" s="180"/>
    </row>
    <row r="123" spans="1:15" ht="14.25" customHeight="1" x14ac:dyDescent="0.3">
      <c r="A123" s="61" t="s">
        <v>439</v>
      </c>
      <c r="C123" s="171"/>
      <c r="D123" s="172"/>
      <c r="E123" s="171"/>
      <c r="F123" s="173"/>
      <c r="G123" s="171"/>
      <c r="H123" s="173"/>
      <c r="I123" s="172"/>
      <c r="J123" s="172"/>
      <c r="K123" s="172"/>
      <c r="L123" s="172"/>
      <c r="M123" s="171">
        <f>+C123-E123+G123</f>
        <v>0</v>
      </c>
      <c r="N123" s="88"/>
      <c r="O123" s="180" t="s">
        <v>440</v>
      </c>
    </row>
    <row r="124" spans="1:15" ht="14.25" customHeight="1" x14ac:dyDescent="0.3">
      <c r="A124" s="61" t="s">
        <v>441</v>
      </c>
      <c r="C124" s="171"/>
      <c r="D124" s="172"/>
      <c r="E124" s="171"/>
      <c r="F124" s="173"/>
      <c r="G124" s="171"/>
      <c r="H124" s="173"/>
      <c r="I124" s="172"/>
      <c r="J124" s="172"/>
      <c r="K124" s="172"/>
      <c r="L124" s="172"/>
      <c r="M124" s="175">
        <f>+C124-E124+G124</f>
        <v>0</v>
      </c>
      <c r="N124" s="88"/>
      <c r="O124" s="180" t="s">
        <v>442</v>
      </c>
    </row>
    <row r="125" spans="1:15" ht="14.25" customHeight="1" x14ac:dyDescent="0.3">
      <c r="A125" s="61" t="s">
        <v>443</v>
      </c>
      <c r="C125" s="175"/>
      <c r="D125" s="172"/>
      <c r="E125" s="171"/>
      <c r="F125" s="173"/>
      <c r="G125" s="171"/>
      <c r="H125" s="173"/>
      <c r="I125" s="172"/>
      <c r="J125" s="172"/>
      <c r="K125" s="172"/>
      <c r="L125" s="172"/>
      <c r="M125" s="175">
        <f>+C125-E125-E126-E127+G125+G126+G127</f>
        <v>0</v>
      </c>
      <c r="N125" s="88"/>
      <c r="O125" s="180" t="s">
        <v>444</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186</v>
      </c>
      <c r="C128" s="171">
        <f>+SUM(C106:C127)</f>
        <v>0</v>
      </c>
      <c r="D128" s="172"/>
      <c r="E128" s="171">
        <f>+SUM(E106:E127)</f>
        <v>27238.5</v>
      </c>
      <c r="F128" s="173"/>
      <c r="G128" s="171">
        <f>+SUM(G106:G127)</f>
        <v>144731.02247989451</v>
      </c>
      <c r="H128" s="173"/>
      <c r="I128" s="172"/>
      <c r="J128" s="172"/>
      <c r="K128" s="172"/>
      <c r="L128" s="172"/>
      <c r="M128" s="177">
        <f>+SUM(M106:M127)</f>
        <v>117492.52247989453</v>
      </c>
      <c r="O128" s="180" t="s">
        <v>187</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188</v>
      </c>
      <c r="C130" s="172"/>
      <c r="D130" s="172"/>
      <c r="E130" s="172"/>
      <c r="F130" s="173"/>
      <c r="G130" s="172"/>
      <c r="H130" s="173"/>
      <c r="I130" s="172"/>
      <c r="J130" s="172"/>
      <c r="K130" s="172"/>
      <c r="L130" s="172"/>
      <c r="M130" s="172"/>
      <c r="O130" s="174"/>
    </row>
    <row r="131" spans="1:15" ht="14.25" customHeight="1" thickBot="1" x14ac:dyDescent="0.35">
      <c r="A131" s="181" t="s">
        <v>189</v>
      </c>
      <c r="C131" s="182">
        <f>+C128+C103+C94</f>
        <v>0</v>
      </c>
      <c r="D131" s="183"/>
      <c r="E131" s="182">
        <f>+E128+E103+E94</f>
        <v>56484.334541640012</v>
      </c>
      <c r="F131" s="173"/>
      <c r="G131" s="182">
        <f>+G128+G103+G94</f>
        <v>312129.33753669448</v>
      </c>
      <c r="H131" s="173"/>
      <c r="I131" s="183"/>
      <c r="J131" s="183"/>
      <c r="K131" s="183"/>
      <c r="L131" s="183"/>
      <c r="M131" s="182">
        <f>+M128+M103+M94</f>
        <v>255645.00299505453</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topLeftCell="A320" zoomScaleNormal="100" workbookViewId="0">
      <selection activeCell="G330" sqref="G330"/>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10" t="s">
        <v>741</v>
      </c>
      <c r="B1" s="410"/>
      <c r="C1" s="410"/>
      <c r="D1" s="410"/>
      <c r="E1" s="410"/>
      <c r="F1" s="410"/>
      <c r="G1" s="410"/>
      <c r="H1" s="410"/>
      <c r="I1" s="410"/>
      <c r="J1" s="410"/>
      <c r="K1" s="410"/>
      <c r="L1" s="410"/>
      <c r="M1" s="410"/>
      <c r="N1" s="410"/>
    </row>
    <row r="2" spans="1:16" ht="17.399999999999999" x14ac:dyDescent="0.3">
      <c r="A2" s="410" t="s">
        <v>446</v>
      </c>
      <c r="B2" s="410"/>
      <c r="C2" s="410"/>
      <c r="D2" s="410"/>
      <c r="E2" s="410"/>
      <c r="F2" s="410"/>
      <c r="G2" s="410"/>
      <c r="H2" s="410"/>
      <c r="I2" s="410"/>
      <c r="J2" s="410"/>
      <c r="K2" s="410"/>
      <c r="L2" s="410"/>
      <c r="M2" s="410"/>
      <c r="N2" s="410"/>
    </row>
    <row r="3" spans="1:16" ht="17.399999999999999" x14ac:dyDescent="0.3">
      <c r="A3" s="410" t="s">
        <v>447</v>
      </c>
      <c r="B3" s="410"/>
      <c r="C3" s="410"/>
      <c r="D3" s="410"/>
      <c r="E3" s="410"/>
      <c r="F3" s="410"/>
      <c r="G3" s="410"/>
      <c r="H3" s="410"/>
      <c r="I3" s="410"/>
      <c r="J3" s="410"/>
      <c r="K3" s="410"/>
      <c r="L3" s="410"/>
      <c r="M3" s="410"/>
      <c r="N3" s="410"/>
    </row>
    <row r="4" spans="1:16" x14ac:dyDescent="0.3">
      <c r="A4" s="412"/>
      <c r="B4" s="412"/>
      <c r="C4" s="412"/>
      <c r="D4" s="412"/>
      <c r="E4" s="412"/>
      <c r="F4" s="412"/>
      <c r="G4" s="412"/>
      <c r="H4" s="412"/>
      <c r="I4" s="412"/>
      <c r="J4" s="412"/>
      <c r="K4" s="412"/>
      <c r="L4" s="412"/>
      <c r="M4" s="412"/>
    </row>
    <row r="5" spans="1:16" x14ac:dyDescent="0.3">
      <c r="A5" s="161"/>
      <c r="B5" s="161"/>
      <c r="C5" s="83"/>
      <c r="D5" s="83"/>
      <c r="E5" s="83"/>
      <c r="F5" s="83"/>
      <c r="G5" s="83"/>
      <c r="H5" s="83"/>
      <c r="I5" s="83"/>
      <c r="J5" s="83"/>
      <c r="K5" s="83"/>
      <c r="L5" s="83"/>
      <c r="M5" s="83" t="s">
        <v>272</v>
      </c>
      <c r="N5" s="188"/>
      <c r="O5" s="88"/>
      <c r="P5" s="88"/>
    </row>
    <row r="6" spans="1:16" x14ac:dyDescent="0.3">
      <c r="A6" s="84"/>
      <c r="B6" s="84"/>
      <c r="C6" s="83" t="s">
        <v>162</v>
      </c>
      <c r="D6" s="168"/>
      <c r="E6" s="413" t="s">
        <v>163</v>
      </c>
      <c r="F6" s="413"/>
      <c r="G6" s="413"/>
      <c r="H6" s="413"/>
      <c r="I6" s="168"/>
      <c r="J6" s="168"/>
      <c r="K6" s="83"/>
      <c r="L6" s="83"/>
      <c r="M6" s="83" t="s">
        <v>338</v>
      </c>
      <c r="N6" s="169" t="s">
        <v>190</v>
      </c>
      <c r="O6" s="88"/>
      <c r="P6" s="88"/>
    </row>
    <row r="7" spans="1:16" x14ac:dyDescent="0.3">
      <c r="A7" s="84"/>
      <c r="B7" s="84"/>
      <c r="C7" s="83" t="s">
        <v>191</v>
      </c>
      <c r="D7" s="83"/>
      <c r="F7" s="83"/>
      <c r="G7" s="162"/>
      <c r="H7" s="83"/>
      <c r="I7" s="83"/>
      <c r="J7" s="83"/>
      <c r="K7" s="83"/>
      <c r="L7" s="83"/>
      <c r="M7" s="83" t="s">
        <v>340</v>
      </c>
      <c r="N7" s="169" t="s">
        <v>448</v>
      </c>
      <c r="O7" s="88"/>
      <c r="P7" s="88"/>
    </row>
    <row r="8" spans="1:16" x14ac:dyDescent="0.3">
      <c r="A8" s="84"/>
      <c r="B8" s="84"/>
      <c r="C8" s="162" t="s">
        <v>165</v>
      </c>
      <c r="D8" s="83"/>
      <c r="E8" s="162" t="s">
        <v>73</v>
      </c>
      <c r="F8" s="83" t="s">
        <v>449</v>
      </c>
      <c r="G8" s="162" t="s">
        <v>74</v>
      </c>
      <c r="H8" s="83" t="s">
        <v>449</v>
      </c>
      <c r="I8" s="162"/>
      <c r="J8" s="83"/>
      <c r="K8" s="162"/>
      <c r="L8" s="83"/>
      <c r="M8" s="162" t="s">
        <v>165</v>
      </c>
      <c r="N8" s="189" t="s">
        <v>450</v>
      </c>
      <c r="O8" s="88"/>
      <c r="P8" s="88"/>
    </row>
    <row r="9" spans="1:16" x14ac:dyDescent="0.3">
      <c r="A9" s="84"/>
      <c r="B9" s="84"/>
      <c r="C9" s="83"/>
      <c r="D9" s="161"/>
      <c r="E9" s="83"/>
      <c r="F9" s="161"/>
      <c r="G9" s="83"/>
      <c r="H9" s="161"/>
      <c r="I9" s="83"/>
      <c r="J9" s="161"/>
      <c r="K9" s="83"/>
      <c r="L9" s="161"/>
      <c r="M9" s="83"/>
    </row>
    <row r="10" spans="1:16" ht="18" customHeight="1" x14ac:dyDescent="0.3">
      <c r="A10" s="84" t="s">
        <v>451</v>
      </c>
      <c r="C10" s="98"/>
      <c r="D10" s="84"/>
      <c r="E10" s="98"/>
      <c r="F10" s="84"/>
      <c r="G10" s="98"/>
      <c r="H10" s="84"/>
      <c r="I10" s="84"/>
      <c r="J10" s="84"/>
      <c r="K10" s="84"/>
      <c r="L10" s="84"/>
      <c r="M10" s="98"/>
    </row>
    <row r="11" spans="1:16" ht="18" customHeight="1" x14ac:dyDescent="0.3">
      <c r="A11" s="61" t="s">
        <v>452</v>
      </c>
      <c r="C11" s="88"/>
      <c r="E11" s="88"/>
      <c r="G11" s="88"/>
      <c r="I11" s="88"/>
      <c r="K11" s="88"/>
      <c r="M11" s="88"/>
    </row>
    <row r="12" spans="1:16" ht="18" customHeight="1" x14ac:dyDescent="0.3">
      <c r="A12" s="61" t="s">
        <v>453</v>
      </c>
      <c r="C12" s="93"/>
      <c r="D12" s="86"/>
      <c r="E12" s="93"/>
      <c r="F12" s="86"/>
      <c r="G12" s="93"/>
      <c r="H12" s="86"/>
      <c r="I12" s="93"/>
      <c r="J12" s="86"/>
      <c r="K12" s="93"/>
      <c r="L12" s="86"/>
      <c r="M12" s="93">
        <f>+C12-E12+G12</f>
        <v>0</v>
      </c>
      <c r="N12" s="167" t="s">
        <v>454</v>
      </c>
    </row>
    <row r="13" spans="1:16" ht="18" customHeight="1" x14ac:dyDescent="0.3">
      <c r="A13" s="61" t="s">
        <v>455</v>
      </c>
      <c r="C13" s="93"/>
      <c r="D13" s="86"/>
      <c r="E13" s="93"/>
      <c r="F13" s="86"/>
      <c r="G13" s="93"/>
      <c r="H13" s="86"/>
      <c r="I13" s="93"/>
      <c r="J13" s="86"/>
      <c r="K13" s="93"/>
      <c r="L13" s="86"/>
      <c r="M13" s="93">
        <f t="shared" ref="M13:M19" si="0">+C13-E13+G13</f>
        <v>0</v>
      </c>
      <c r="N13" s="167" t="s">
        <v>454</v>
      </c>
    </row>
    <row r="14" spans="1:16" ht="18" customHeight="1" x14ac:dyDescent="0.3">
      <c r="A14" s="61" t="s">
        <v>456</v>
      </c>
      <c r="C14" s="93"/>
      <c r="D14" s="86"/>
      <c r="E14" s="93"/>
      <c r="F14" s="86"/>
      <c r="G14" s="93"/>
      <c r="H14" s="86"/>
      <c r="I14" s="93"/>
      <c r="J14" s="86"/>
      <c r="K14" s="93"/>
      <c r="L14" s="86"/>
      <c r="M14" s="93">
        <f t="shared" si="0"/>
        <v>0</v>
      </c>
      <c r="N14" s="167" t="s">
        <v>454</v>
      </c>
    </row>
    <row r="15" spans="1:16" ht="18" customHeight="1" x14ac:dyDescent="0.3">
      <c r="A15" s="61" t="s">
        <v>457</v>
      </c>
      <c r="C15" s="93"/>
      <c r="D15" s="86"/>
      <c r="E15" s="93"/>
      <c r="F15" s="86"/>
      <c r="G15" s="93"/>
      <c r="H15" s="86"/>
      <c r="I15" s="93"/>
      <c r="J15" s="86"/>
      <c r="K15" s="93"/>
      <c r="L15" s="86"/>
      <c r="M15" s="93">
        <f t="shared" si="0"/>
        <v>0</v>
      </c>
      <c r="N15" s="167" t="s">
        <v>454</v>
      </c>
    </row>
    <row r="16" spans="1:16" ht="18" customHeight="1" x14ac:dyDescent="0.3">
      <c r="A16" s="61" t="s">
        <v>458</v>
      </c>
      <c r="B16" s="88"/>
      <c r="C16" s="93"/>
      <c r="D16" s="86"/>
      <c r="E16" s="93"/>
      <c r="F16" s="86"/>
      <c r="G16" s="93"/>
      <c r="H16" s="86"/>
      <c r="I16" s="93"/>
      <c r="J16" s="86"/>
      <c r="K16" s="93"/>
      <c r="L16" s="86"/>
      <c r="M16" s="93">
        <f t="shared" si="0"/>
        <v>0</v>
      </c>
      <c r="N16" s="167" t="s">
        <v>454</v>
      </c>
    </row>
    <row r="17" spans="1:14" ht="18" customHeight="1" x14ac:dyDescent="0.3">
      <c r="A17" s="61" t="s">
        <v>459</v>
      </c>
      <c r="B17" s="88"/>
      <c r="C17" s="93"/>
      <c r="D17" s="86"/>
      <c r="E17" s="93"/>
      <c r="F17" s="86"/>
      <c r="G17" s="93"/>
      <c r="H17" s="86"/>
      <c r="I17" s="93"/>
      <c r="J17" s="86"/>
      <c r="K17" s="93"/>
      <c r="L17" s="86"/>
      <c r="M17" s="93">
        <f t="shared" si="0"/>
        <v>0</v>
      </c>
      <c r="N17" s="167" t="s">
        <v>460</v>
      </c>
    </row>
    <row r="18" spans="1:14" ht="18" customHeight="1" x14ac:dyDescent="0.3">
      <c r="A18" s="61" t="s">
        <v>461</v>
      </c>
      <c r="B18" s="88"/>
      <c r="C18" s="93"/>
      <c r="D18" s="86"/>
      <c r="E18" s="93"/>
      <c r="F18" s="86"/>
      <c r="G18" s="93"/>
      <c r="H18" s="86"/>
      <c r="I18" s="93"/>
      <c r="J18" s="86"/>
      <c r="K18" s="93"/>
      <c r="L18" s="86"/>
      <c r="M18" s="93">
        <f t="shared" si="0"/>
        <v>0</v>
      </c>
      <c r="N18" s="167" t="s">
        <v>454</v>
      </c>
    </row>
    <row r="19" spans="1:14" ht="18" customHeight="1" x14ac:dyDescent="0.3">
      <c r="A19" s="61" t="s">
        <v>462</v>
      </c>
      <c r="B19" s="88"/>
      <c r="C19" s="93"/>
      <c r="D19" s="86"/>
      <c r="E19" s="93"/>
      <c r="F19" s="86"/>
      <c r="G19" s="93"/>
      <c r="H19" s="86"/>
      <c r="I19" s="93"/>
      <c r="J19" s="86"/>
      <c r="K19" s="93"/>
      <c r="L19" s="86"/>
      <c r="M19" s="93">
        <f t="shared" si="0"/>
        <v>0</v>
      </c>
      <c r="N19" s="167" t="s">
        <v>454</v>
      </c>
    </row>
    <row r="20" spans="1:14" ht="18" customHeight="1" x14ac:dyDescent="0.3">
      <c r="B20" s="88"/>
      <c r="C20" s="93"/>
      <c r="D20" s="86"/>
      <c r="E20" s="93"/>
      <c r="F20" s="86"/>
      <c r="G20" s="93"/>
      <c r="H20" s="86"/>
      <c r="I20" s="85"/>
      <c r="J20" s="86"/>
      <c r="K20" s="85"/>
      <c r="L20" s="86"/>
      <c r="M20" s="93"/>
    </row>
    <row r="21" spans="1:14" ht="18" customHeight="1" x14ac:dyDescent="0.3">
      <c r="A21" s="61" t="s">
        <v>463</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464</v>
      </c>
      <c r="B23" s="88"/>
      <c r="C23" s="89"/>
      <c r="D23" s="86"/>
      <c r="E23" s="89"/>
      <c r="F23" s="86"/>
      <c r="G23" s="89"/>
      <c r="H23" s="86"/>
      <c r="I23" s="89"/>
      <c r="J23" s="86"/>
      <c r="K23" s="89"/>
      <c r="L23" s="86"/>
      <c r="M23" s="89">
        <f>+C23-E23+G23</f>
        <v>0</v>
      </c>
      <c r="N23" s="167" t="s">
        <v>465</v>
      </c>
    </row>
    <row r="24" spans="1:14" ht="18" customHeight="1" x14ac:dyDescent="0.3">
      <c r="B24" s="88"/>
      <c r="C24" s="85"/>
      <c r="D24" s="85"/>
      <c r="E24" s="85"/>
      <c r="F24" s="85"/>
      <c r="G24" s="85"/>
      <c r="H24" s="85"/>
      <c r="I24" s="85"/>
      <c r="J24" s="85"/>
      <c r="K24" s="85"/>
      <c r="L24" s="85"/>
      <c r="M24" s="85"/>
    </row>
    <row r="25" spans="1:14" ht="18" customHeight="1" x14ac:dyDescent="0.3">
      <c r="A25" s="61" t="s">
        <v>466</v>
      </c>
      <c r="B25" s="88"/>
      <c r="C25" s="85"/>
      <c r="D25" s="85"/>
      <c r="E25" s="85"/>
      <c r="F25" s="85"/>
      <c r="G25" s="85"/>
      <c r="H25" s="85"/>
      <c r="I25" s="85"/>
      <c r="J25" s="85"/>
      <c r="K25" s="85"/>
      <c r="L25" s="85"/>
      <c r="M25" s="85"/>
    </row>
    <row r="26" spans="1:14" ht="18" customHeight="1" x14ac:dyDescent="0.3">
      <c r="A26" s="61" t="s">
        <v>467</v>
      </c>
      <c r="B26" s="88"/>
      <c r="C26" s="93"/>
      <c r="D26" s="86"/>
      <c r="E26" s="93"/>
      <c r="F26" s="86"/>
      <c r="G26" s="93"/>
      <c r="H26" s="86"/>
      <c r="I26" s="93"/>
      <c r="J26" s="86"/>
      <c r="K26" s="93"/>
      <c r="L26" s="86"/>
      <c r="M26" s="93">
        <f>+C26-E26+G26</f>
        <v>0</v>
      </c>
      <c r="N26" s="167" t="s">
        <v>468</v>
      </c>
    </row>
    <row r="27" spans="1:14" ht="18" customHeight="1" x14ac:dyDescent="0.3">
      <c r="A27" s="61" t="s">
        <v>469</v>
      </c>
      <c r="B27" s="88"/>
      <c r="C27" s="93"/>
      <c r="D27" s="86"/>
      <c r="E27" s="93"/>
      <c r="F27" s="86"/>
      <c r="G27" s="93"/>
      <c r="H27" s="86"/>
      <c r="I27" s="93"/>
      <c r="J27" s="86"/>
      <c r="K27" s="93"/>
      <c r="L27" s="86"/>
      <c r="M27" s="93">
        <f>+C27-E27+G27</f>
        <v>0</v>
      </c>
      <c r="N27" s="167" t="s">
        <v>470</v>
      </c>
    </row>
    <row r="28" spans="1:14" ht="18" customHeight="1" x14ac:dyDescent="0.3">
      <c r="A28" s="61" t="s">
        <v>471</v>
      </c>
      <c r="B28" s="88"/>
      <c r="C28" s="93"/>
      <c r="D28" s="86"/>
      <c r="E28" s="93"/>
      <c r="F28" s="86"/>
      <c r="G28" s="93"/>
      <c r="H28" s="86"/>
      <c r="I28" s="93"/>
      <c r="J28" s="86"/>
      <c r="K28" s="93"/>
      <c r="L28" s="86"/>
      <c r="M28" s="93">
        <f>+C28-E28+G28</f>
        <v>0</v>
      </c>
      <c r="N28" s="167" t="s">
        <v>472</v>
      </c>
    </row>
    <row r="29" spans="1:14" ht="18" customHeight="1" x14ac:dyDescent="0.3">
      <c r="A29" s="61" t="s">
        <v>473</v>
      </c>
      <c r="B29" s="88"/>
      <c r="C29" s="93"/>
      <c r="D29" s="86"/>
      <c r="E29" s="93"/>
      <c r="F29" s="86"/>
      <c r="G29" s="93"/>
      <c r="H29" s="86"/>
      <c r="I29" s="93"/>
      <c r="J29" s="86"/>
      <c r="K29" s="93"/>
      <c r="L29" s="86"/>
      <c r="M29" s="93">
        <f>+C29-E29+G29</f>
        <v>0</v>
      </c>
      <c r="N29" s="167" t="s">
        <v>468</v>
      </c>
    </row>
    <row r="30" spans="1:14" ht="18" customHeight="1" x14ac:dyDescent="0.3">
      <c r="A30" s="61" t="s">
        <v>474</v>
      </c>
      <c r="B30" s="88"/>
      <c r="C30" s="85"/>
      <c r="D30" s="85"/>
      <c r="E30" s="85"/>
      <c r="F30" s="85"/>
      <c r="G30" s="85"/>
      <c r="H30" s="85"/>
      <c r="I30" s="85"/>
      <c r="J30" s="85"/>
      <c r="K30" s="85"/>
      <c r="L30" s="85"/>
      <c r="M30" s="85"/>
    </row>
    <row r="31" spans="1:14" ht="18" customHeight="1" x14ac:dyDescent="0.3">
      <c r="A31" s="61" t="s">
        <v>475</v>
      </c>
      <c r="B31" s="88"/>
      <c r="C31" s="93"/>
      <c r="D31" s="86"/>
      <c r="E31" s="93"/>
      <c r="F31" s="86"/>
      <c r="G31" s="93"/>
      <c r="H31" s="86"/>
      <c r="I31" s="93"/>
      <c r="J31" s="86"/>
      <c r="K31" s="93"/>
      <c r="L31" s="86"/>
      <c r="M31" s="93">
        <f>+C31-E31+G31</f>
        <v>0</v>
      </c>
      <c r="N31" s="167" t="s">
        <v>476</v>
      </c>
    </row>
    <row r="32" spans="1:14" ht="18" customHeight="1" x14ac:dyDescent="0.3">
      <c r="A32" s="61" t="s">
        <v>477</v>
      </c>
      <c r="B32" s="88"/>
      <c r="C32" s="93"/>
      <c r="D32" s="86"/>
      <c r="E32" s="93"/>
      <c r="F32" s="86"/>
      <c r="G32" s="93"/>
      <c r="H32" s="86"/>
      <c r="I32" s="93"/>
      <c r="J32" s="86"/>
      <c r="K32" s="93"/>
      <c r="L32" s="86"/>
      <c r="M32" s="93">
        <f>+C32-E32+G32</f>
        <v>0</v>
      </c>
      <c r="N32" s="167" t="s">
        <v>478</v>
      </c>
    </row>
    <row r="33" spans="1:16" ht="18" customHeight="1" x14ac:dyDescent="0.3">
      <c r="A33" s="61" t="s">
        <v>479</v>
      </c>
      <c r="B33" s="88"/>
      <c r="C33" s="93"/>
      <c r="D33" s="86"/>
      <c r="E33" s="93"/>
      <c r="F33" s="86"/>
      <c r="G33" s="93"/>
      <c r="H33" s="86"/>
      <c r="I33" s="93"/>
      <c r="J33" s="86"/>
      <c r="K33" s="93"/>
      <c r="L33" s="86"/>
      <c r="M33" s="93">
        <f>+C33-E33+G33</f>
        <v>0</v>
      </c>
      <c r="N33" s="167" t="s">
        <v>476</v>
      </c>
    </row>
    <row r="34" spans="1:16" ht="18" customHeight="1" x14ac:dyDescent="0.3">
      <c r="A34" s="61" t="s">
        <v>480</v>
      </c>
      <c r="B34" s="88"/>
      <c r="C34" s="93"/>
      <c r="D34" s="86"/>
      <c r="E34" s="93"/>
      <c r="F34" s="86"/>
      <c r="G34" s="93"/>
      <c r="H34" s="86"/>
      <c r="I34" s="93"/>
      <c r="J34" s="86"/>
      <c r="K34" s="93"/>
      <c r="L34" s="86"/>
      <c r="M34" s="93">
        <f>+C34-E34+G34</f>
        <v>0</v>
      </c>
      <c r="N34" s="167" t="s">
        <v>476</v>
      </c>
    </row>
    <row r="35" spans="1:16" ht="18" customHeight="1" x14ac:dyDescent="0.3">
      <c r="A35" s="61" t="s">
        <v>481</v>
      </c>
      <c r="B35" s="88"/>
      <c r="C35" s="85"/>
      <c r="D35" s="85"/>
      <c r="E35" s="85"/>
      <c r="F35" s="85"/>
      <c r="G35" s="85"/>
      <c r="H35" s="85"/>
      <c r="I35" s="85"/>
      <c r="J35" s="85"/>
      <c r="K35" s="85"/>
      <c r="L35" s="85"/>
      <c r="M35" s="85"/>
    </row>
    <row r="36" spans="1:16" ht="18" customHeight="1" x14ac:dyDescent="0.3">
      <c r="A36" s="61" t="s">
        <v>482</v>
      </c>
      <c r="B36" s="88"/>
      <c r="C36" s="93"/>
      <c r="D36" s="86"/>
      <c r="E36" s="93"/>
      <c r="F36" s="86"/>
      <c r="G36" s="93"/>
      <c r="H36" s="86"/>
      <c r="I36" s="93"/>
      <c r="J36" s="86"/>
      <c r="K36" s="93"/>
      <c r="L36" s="86"/>
      <c r="M36" s="93">
        <f t="shared" ref="M36:M57" si="1">+C36-E36+G36</f>
        <v>0</v>
      </c>
      <c r="N36" s="167" t="s">
        <v>483</v>
      </c>
    </row>
    <row r="37" spans="1:16" ht="18" customHeight="1" x14ac:dyDescent="0.3">
      <c r="A37" s="61" t="s">
        <v>484</v>
      </c>
      <c r="B37" s="88"/>
      <c r="C37" s="85"/>
      <c r="D37" s="85"/>
      <c r="E37" s="85"/>
      <c r="F37" s="85"/>
      <c r="G37" s="85"/>
      <c r="H37" s="85"/>
      <c r="I37" s="85"/>
      <c r="J37" s="85"/>
      <c r="K37" s="85"/>
      <c r="L37" s="85"/>
      <c r="M37" s="85"/>
    </row>
    <row r="38" spans="1:16" ht="18" customHeight="1" x14ac:dyDescent="0.3">
      <c r="A38" s="61" t="s">
        <v>485</v>
      </c>
      <c r="B38" s="88"/>
      <c r="C38" s="93"/>
      <c r="D38" s="86"/>
      <c r="E38" s="93"/>
      <c r="F38" s="86"/>
      <c r="G38" s="93"/>
      <c r="H38" s="86"/>
      <c r="I38" s="93"/>
      <c r="J38" s="86"/>
      <c r="K38" s="93"/>
      <c r="L38" s="86"/>
      <c r="M38" s="93">
        <f t="shared" si="1"/>
        <v>0</v>
      </c>
      <c r="N38" s="167" t="s">
        <v>486</v>
      </c>
    </row>
    <row r="39" spans="1:16" ht="18" customHeight="1" x14ac:dyDescent="0.3">
      <c r="A39" s="61" t="s">
        <v>487</v>
      </c>
      <c r="B39" s="88"/>
      <c r="C39" s="85"/>
      <c r="D39" s="85"/>
      <c r="E39" s="85"/>
      <c r="F39" s="85"/>
      <c r="G39" s="85"/>
      <c r="H39" s="85"/>
      <c r="I39" s="85"/>
      <c r="J39" s="85"/>
      <c r="K39" s="85"/>
      <c r="L39" s="85"/>
      <c r="M39" s="85"/>
    </row>
    <row r="40" spans="1:16" ht="18" customHeight="1" x14ac:dyDescent="0.3">
      <c r="A40" s="61" t="s">
        <v>488</v>
      </c>
      <c r="B40" s="88"/>
      <c r="C40" s="93"/>
      <c r="D40" s="86"/>
      <c r="E40" s="93"/>
      <c r="F40" s="86"/>
      <c r="G40" s="93"/>
      <c r="H40" s="86"/>
      <c r="I40" s="93"/>
      <c r="J40" s="86"/>
      <c r="K40" s="93"/>
      <c r="L40" s="86"/>
      <c r="M40" s="93">
        <f t="shared" si="1"/>
        <v>0</v>
      </c>
      <c r="N40" s="167" t="s">
        <v>478</v>
      </c>
    </row>
    <row r="41" spans="1:16" ht="18" customHeight="1" x14ac:dyDescent="0.3">
      <c r="A41" s="61" t="s">
        <v>489</v>
      </c>
      <c r="B41" s="88"/>
      <c r="C41" s="93"/>
      <c r="D41" s="86"/>
      <c r="E41" s="93"/>
      <c r="F41" s="86"/>
      <c r="G41" s="93"/>
      <c r="H41" s="86"/>
      <c r="I41" s="93"/>
      <c r="J41" s="86"/>
      <c r="K41" s="93"/>
      <c r="L41" s="86"/>
      <c r="M41" s="93">
        <f t="shared" si="1"/>
        <v>0</v>
      </c>
      <c r="N41" s="167" t="s">
        <v>478</v>
      </c>
    </row>
    <row r="42" spans="1:16" ht="18" customHeight="1" x14ac:dyDescent="0.3">
      <c r="A42" s="61" t="s">
        <v>490</v>
      </c>
      <c r="B42" s="88"/>
      <c r="C42" s="85"/>
      <c r="D42" s="85"/>
      <c r="E42" s="85"/>
      <c r="F42" s="85"/>
      <c r="G42" s="85"/>
      <c r="H42" s="85"/>
      <c r="I42" s="85"/>
      <c r="J42" s="85"/>
      <c r="K42" s="85"/>
      <c r="L42" s="85"/>
      <c r="M42" s="85"/>
    </row>
    <row r="43" spans="1:16" ht="18" customHeight="1" x14ac:dyDescent="0.3">
      <c r="A43" s="61" t="s">
        <v>491</v>
      </c>
      <c r="B43" s="88"/>
      <c r="C43" s="93"/>
      <c r="D43" s="86"/>
      <c r="E43" s="93"/>
      <c r="F43" s="86"/>
      <c r="G43" s="93"/>
      <c r="H43" s="86"/>
      <c r="I43" s="85"/>
      <c r="J43" s="86"/>
      <c r="K43" s="85"/>
      <c r="L43" s="86"/>
      <c r="M43" s="93">
        <f t="shared" si="1"/>
        <v>0</v>
      </c>
      <c r="N43" s="167" t="s">
        <v>486</v>
      </c>
    </row>
    <row r="44" spans="1:16" ht="18" customHeight="1" x14ac:dyDescent="0.3">
      <c r="A44" s="61" t="s">
        <v>492</v>
      </c>
      <c r="B44" s="88"/>
      <c r="C44" s="85"/>
      <c r="D44" s="85"/>
      <c r="E44" s="85"/>
      <c r="F44" s="85"/>
      <c r="G44" s="85"/>
      <c r="H44" s="85"/>
      <c r="I44" s="85"/>
      <c r="J44" s="85"/>
      <c r="K44" s="85"/>
      <c r="L44" s="85"/>
      <c r="M44" s="85"/>
      <c r="N44" s="188"/>
    </row>
    <row r="45" spans="1:16" ht="18" customHeight="1" x14ac:dyDescent="0.3">
      <c r="A45" s="61" t="s">
        <v>493</v>
      </c>
      <c r="B45" s="88"/>
      <c r="C45" s="93"/>
      <c r="D45" s="86"/>
      <c r="E45" s="93"/>
      <c r="F45" s="86"/>
      <c r="G45" s="93"/>
      <c r="H45" s="86"/>
      <c r="I45" s="93"/>
      <c r="J45" s="86"/>
      <c r="K45" s="93"/>
      <c r="L45" s="86"/>
      <c r="M45" s="93">
        <f>+C45-E45+G45</f>
        <v>0</v>
      </c>
      <c r="N45" s="167" t="s">
        <v>478</v>
      </c>
    </row>
    <row r="46" spans="1:16" ht="18" customHeight="1" x14ac:dyDescent="0.3">
      <c r="A46" s="61" t="s">
        <v>494</v>
      </c>
      <c r="B46" s="88"/>
      <c r="C46" s="85"/>
      <c r="D46" s="85"/>
      <c r="E46" s="85"/>
      <c r="F46" s="85"/>
      <c r="G46" s="85"/>
      <c r="H46" s="85"/>
      <c r="I46" s="85"/>
      <c r="J46" s="85"/>
      <c r="K46" s="85"/>
      <c r="L46" s="85"/>
      <c r="M46" s="85"/>
      <c r="N46" s="188"/>
      <c r="O46" s="88"/>
      <c r="P46" s="88"/>
    </row>
    <row r="47" spans="1:16" ht="18" customHeight="1" x14ac:dyDescent="0.3">
      <c r="A47" s="61" t="s">
        <v>495</v>
      </c>
      <c r="B47" s="88"/>
      <c r="C47" s="93"/>
      <c r="D47" s="86"/>
      <c r="E47" s="93"/>
      <c r="F47" s="86"/>
      <c r="G47" s="93"/>
      <c r="H47" s="86"/>
      <c r="I47" s="85"/>
      <c r="J47" s="86"/>
      <c r="K47" s="85"/>
      <c r="L47" s="86"/>
      <c r="M47" s="93">
        <f t="shared" si="1"/>
        <v>0</v>
      </c>
      <c r="N47" s="167" t="s">
        <v>478</v>
      </c>
    </row>
    <row r="48" spans="1:16" ht="18" customHeight="1" x14ac:dyDescent="0.3">
      <c r="A48" s="61" t="s">
        <v>496</v>
      </c>
      <c r="B48" s="88"/>
      <c r="C48" s="85"/>
      <c r="D48" s="85"/>
      <c r="E48" s="85"/>
      <c r="F48" s="85"/>
      <c r="G48" s="85"/>
      <c r="H48" s="85"/>
      <c r="I48" s="85"/>
      <c r="J48" s="85"/>
      <c r="K48" s="85"/>
      <c r="L48" s="85"/>
      <c r="M48" s="85"/>
    </row>
    <row r="49" spans="1:14" ht="18" customHeight="1" x14ac:dyDescent="0.3">
      <c r="A49" s="61" t="s">
        <v>497</v>
      </c>
      <c r="B49" s="88"/>
      <c r="C49" s="93"/>
      <c r="D49" s="86"/>
      <c r="E49" s="93"/>
      <c r="F49" s="86"/>
      <c r="G49" s="93"/>
      <c r="H49" s="86"/>
      <c r="I49" s="93"/>
      <c r="J49" s="86"/>
      <c r="K49" s="93"/>
      <c r="L49" s="86"/>
      <c r="M49" s="93">
        <f t="shared" si="1"/>
        <v>0</v>
      </c>
      <c r="N49" s="167" t="s">
        <v>476</v>
      </c>
    </row>
    <row r="50" spans="1:14" ht="18" customHeight="1" x14ac:dyDescent="0.3">
      <c r="A50" s="61" t="s">
        <v>498</v>
      </c>
      <c r="B50" s="88"/>
      <c r="C50" s="93"/>
      <c r="D50" s="86"/>
      <c r="E50" s="93"/>
      <c r="F50" s="86"/>
      <c r="G50" s="93"/>
      <c r="H50" s="86"/>
      <c r="I50" s="93"/>
      <c r="J50" s="86"/>
      <c r="K50" s="93"/>
      <c r="L50" s="86"/>
      <c r="M50" s="93">
        <f>+C50-E50+G50</f>
        <v>0</v>
      </c>
      <c r="N50" s="167" t="s">
        <v>486</v>
      </c>
    </row>
    <row r="51" spans="1:14" ht="18" customHeight="1" x14ac:dyDescent="0.3">
      <c r="A51" s="61" t="s">
        <v>499</v>
      </c>
      <c r="B51" s="88"/>
      <c r="C51" s="93"/>
      <c r="D51" s="86"/>
      <c r="E51" s="93"/>
      <c r="F51" s="86"/>
      <c r="G51" s="93"/>
      <c r="H51" s="86"/>
      <c r="I51" s="93"/>
      <c r="J51" s="86"/>
      <c r="K51" s="93"/>
      <c r="L51" s="86"/>
      <c r="M51" s="93">
        <f>+C51-E51+G51</f>
        <v>0</v>
      </c>
      <c r="N51" s="190" t="s">
        <v>476</v>
      </c>
    </row>
    <row r="52" spans="1:14" ht="18" customHeight="1" x14ac:dyDescent="0.3">
      <c r="A52" s="92" t="s">
        <v>500</v>
      </c>
      <c r="B52" s="88"/>
      <c r="C52" s="93"/>
      <c r="D52" s="86"/>
      <c r="E52" s="93"/>
      <c r="F52" s="86"/>
      <c r="G52" s="93"/>
      <c r="H52" s="86"/>
      <c r="I52" s="93"/>
      <c r="J52" s="86"/>
      <c r="K52" s="93"/>
      <c r="L52" s="86"/>
      <c r="M52" s="93">
        <f>+C52-E52+G52</f>
        <v>0</v>
      </c>
      <c r="N52" s="180" t="s">
        <v>501</v>
      </c>
    </row>
    <row r="53" spans="1:14" ht="18" customHeight="1" x14ac:dyDescent="0.3">
      <c r="A53" s="92" t="s">
        <v>502</v>
      </c>
      <c r="B53" s="88"/>
      <c r="C53" s="93"/>
      <c r="D53" s="86"/>
      <c r="E53" s="93"/>
      <c r="F53" s="86"/>
      <c r="G53" s="93"/>
      <c r="H53" s="86"/>
      <c r="I53" s="93"/>
      <c r="J53" s="86"/>
      <c r="K53" s="93"/>
      <c r="L53" s="86"/>
      <c r="M53" s="93">
        <f>+C53-E53+G53</f>
        <v>0</v>
      </c>
      <c r="N53" s="180" t="s">
        <v>503</v>
      </c>
    </row>
    <row r="54" spans="1:14" ht="18" customHeight="1" x14ac:dyDescent="0.3">
      <c r="A54" s="61" t="s">
        <v>504</v>
      </c>
      <c r="B54" s="88"/>
      <c r="C54" s="93"/>
      <c r="D54" s="86"/>
      <c r="E54" s="93"/>
      <c r="F54" s="86"/>
      <c r="G54" s="93"/>
      <c r="H54" s="86"/>
      <c r="I54" s="93"/>
      <c r="J54" s="86"/>
      <c r="K54" s="93"/>
      <c r="L54" s="86"/>
      <c r="M54" s="93">
        <f t="shared" si="1"/>
        <v>0</v>
      </c>
      <c r="N54" s="190" t="s">
        <v>505</v>
      </c>
    </row>
    <row r="55" spans="1:14" ht="18" customHeight="1" x14ac:dyDescent="0.3">
      <c r="A55" s="61" t="s">
        <v>506</v>
      </c>
      <c r="B55" s="88"/>
      <c r="C55" s="93"/>
      <c r="D55" s="86"/>
      <c r="E55" s="93"/>
      <c r="F55" s="86"/>
      <c r="G55" s="93"/>
      <c r="H55" s="86"/>
      <c r="I55" s="93"/>
      <c r="J55" s="86"/>
      <c r="K55" s="93"/>
      <c r="L55" s="86"/>
      <c r="M55" s="93">
        <f t="shared" si="1"/>
        <v>0</v>
      </c>
      <c r="N55" s="190" t="s">
        <v>476</v>
      </c>
    </row>
    <row r="56" spans="1:14" ht="18" customHeight="1" x14ac:dyDescent="0.3">
      <c r="A56" s="61" t="s">
        <v>507</v>
      </c>
      <c r="B56" s="88"/>
      <c r="C56" s="93"/>
      <c r="D56" s="86"/>
      <c r="E56" s="93"/>
      <c r="F56" s="86"/>
      <c r="G56" s="93"/>
      <c r="H56" s="86"/>
      <c r="I56" s="93"/>
      <c r="J56" s="86"/>
      <c r="K56" s="93"/>
      <c r="L56" s="86"/>
      <c r="M56" s="93">
        <f t="shared" si="1"/>
        <v>0</v>
      </c>
      <c r="N56" s="190" t="s">
        <v>476</v>
      </c>
    </row>
    <row r="57" spans="1:14" ht="18" customHeight="1" x14ac:dyDescent="0.3">
      <c r="A57" s="61" t="s">
        <v>508</v>
      </c>
      <c r="B57" s="88"/>
      <c r="C57" s="93"/>
      <c r="D57" s="86"/>
      <c r="E57" s="93"/>
      <c r="F57" s="86"/>
      <c r="G57" s="93"/>
      <c r="H57" s="86"/>
      <c r="I57" s="93"/>
      <c r="J57" s="86"/>
      <c r="K57" s="93"/>
      <c r="L57" s="86"/>
      <c r="M57" s="93">
        <f t="shared" si="1"/>
        <v>0</v>
      </c>
      <c r="N57" s="190" t="s">
        <v>509</v>
      </c>
    </row>
    <row r="58" spans="1:14" ht="18" customHeight="1" x14ac:dyDescent="0.3">
      <c r="B58" s="88"/>
      <c r="C58" s="85"/>
      <c r="D58" s="86"/>
      <c r="E58" s="85"/>
      <c r="F58" s="86"/>
      <c r="G58" s="85"/>
      <c r="H58" s="86"/>
      <c r="I58" s="85"/>
      <c r="J58" s="86"/>
      <c r="K58" s="85"/>
      <c r="L58" s="86"/>
      <c r="M58" s="85"/>
      <c r="N58" s="190"/>
    </row>
    <row r="59" spans="1:14" ht="18" customHeight="1" x14ac:dyDescent="0.3">
      <c r="A59" s="61" t="s">
        <v>510</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511</v>
      </c>
      <c r="C61" s="85"/>
      <c r="D61" s="85"/>
      <c r="E61" s="85"/>
      <c r="F61" s="85"/>
      <c r="G61" s="85"/>
      <c r="H61" s="85"/>
      <c r="I61" s="85"/>
      <c r="J61" s="85"/>
      <c r="K61" s="85"/>
      <c r="L61" s="85"/>
      <c r="M61" s="85"/>
    </row>
    <row r="62" spans="1:14" ht="18" customHeight="1" x14ac:dyDescent="0.3">
      <c r="A62" s="61" t="s">
        <v>512</v>
      </c>
      <c r="C62" s="85"/>
      <c r="D62" s="85"/>
      <c r="E62" s="85"/>
      <c r="F62" s="85"/>
      <c r="G62" s="85"/>
      <c r="H62" s="85"/>
      <c r="I62" s="85"/>
      <c r="J62" s="85"/>
      <c r="K62" s="85"/>
      <c r="L62" s="85"/>
      <c r="M62" s="85"/>
    </row>
    <row r="63" spans="1:14" ht="18" customHeight="1" x14ac:dyDescent="0.3">
      <c r="A63" s="61" t="s">
        <v>513</v>
      </c>
      <c r="C63" s="93"/>
      <c r="D63" s="86"/>
      <c r="E63" s="93"/>
      <c r="F63" s="86"/>
      <c r="G63" s="93"/>
      <c r="H63" s="86"/>
      <c r="I63" s="93"/>
      <c r="J63" s="86"/>
      <c r="K63" s="93"/>
      <c r="L63" s="86"/>
      <c r="M63" s="93">
        <f t="shared" ref="M63:M68" si="2">+C63-E63+G63</f>
        <v>0</v>
      </c>
      <c r="N63" s="167" t="s">
        <v>514</v>
      </c>
    </row>
    <row r="64" spans="1:14" ht="18" customHeight="1" x14ac:dyDescent="0.3">
      <c r="A64" s="61" t="s">
        <v>515</v>
      </c>
      <c r="C64" s="93"/>
      <c r="D64" s="86"/>
      <c r="E64" s="93"/>
      <c r="F64" s="86"/>
      <c r="G64" s="93"/>
      <c r="H64" s="86"/>
      <c r="I64" s="93"/>
      <c r="J64" s="86"/>
      <c r="K64" s="93"/>
      <c r="L64" s="86"/>
      <c r="M64" s="93">
        <f t="shared" si="2"/>
        <v>0</v>
      </c>
      <c r="N64" s="167" t="s">
        <v>514</v>
      </c>
    </row>
    <row r="65" spans="1:14" ht="18" customHeight="1" x14ac:dyDescent="0.3">
      <c r="A65" s="61" t="s">
        <v>516</v>
      </c>
      <c r="C65" s="93"/>
      <c r="D65" s="86"/>
      <c r="E65" s="93"/>
      <c r="F65" s="86"/>
      <c r="G65" s="93"/>
      <c r="H65" s="86"/>
      <c r="I65" s="93"/>
      <c r="J65" s="86"/>
      <c r="K65" s="93"/>
      <c r="L65" s="86"/>
      <c r="M65" s="93">
        <f t="shared" si="2"/>
        <v>0</v>
      </c>
      <c r="N65" s="167" t="s">
        <v>514</v>
      </c>
    </row>
    <row r="66" spans="1:14" ht="18" customHeight="1" x14ac:dyDescent="0.3">
      <c r="A66" s="61" t="s">
        <v>517</v>
      </c>
      <c r="C66" s="93"/>
      <c r="D66" s="86"/>
      <c r="E66" s="93"/>
      <c r="F66" s="86"/>
      <c r="G66" s="93"/>
      <c r="H66" s="86"/>
      <c r="I66" s="93"/>
      <c r="J66" s="86"/>
      <c r="K66" s="93"/>
      <c r="L66" s="86"/>
      <c r="M66" s="93">
        <f t="shared" si="2"/>
        <v>0</v>
      </c>
      <c r="N66" s="167" t="s">
        <v>514</v>
      </c>
    </row>
    <row r="67" spans="1:14" ht="18" customHeight="1" x14ac:dyDescent="0.3">
      <c r="A67" s="61" t="s">
        <v>518</v>
      </c>
      <c r="C67" s="93"/>
      <c r="D67" s="86"/>
      <c r="E67" s="93"/>
      <c r="F67" s="86"/>
      <c r="G67" s="93"/>
      <c r="H67" s="86"/>
      <c r="I67" s="93"/>
      <c r="J67" s="86"/>
      <c r="K67" s="93"/>
      <c r="L67" s="86"/>
      <c r="M67" s="93">
        <f t="shared" si="2"/>
        <v>0</v>
      </c>
      <c r="N67" s="167" t="s">
        <v>514</v>
      </c>
    </row>
    <row r="68" spans="1:14" ht="18" customHeight="1" x14ac:dyDescent="0.3">
      <c r="A68" s="61" t="s">
        <v>519</v>
      </c>
      <c r="C68" s="93"/>
      <c r="D68" s="86"/>
      <c r="E68" s="93"/>
      <c r="F68" s="86"/>
      <c r="G68" s="93"/>
      <c r="H68" s="86"/>
      <c r="I68" s="93"/>
      <c r="J68" s="86"/>
      <c r="K68" s="93"/>
      <c r="L68" s="86"/>
      <c r="M68" s="93">
        <f t="shared" si="2"/>
        <v>0</v>
      </c>
      <c r="N68" s="167" t="s">
        <v>514</v>
      </c>
    </row>
    <row r="69" spans="1:14" ht="18" customHeight="1" x14ac:dyDescent="0.3">
      <c r="A69" s="61" t="s">
        <v>520</v>
      </c>
      <c r="C69" s="86"/>
      <c r="D69" s="86"/>
      <c r="E69" s="86"/>
      <c r="F69" s="86"/>
      <c r="G69" s="86"/>
      <c r="H69" s="86"/>
      <c r="I69" s="86"/>
      <c r="J69" s="86"/>
      <c r="K69" s="86"/>
      <c r="L69" s="86"/>
      <c r="M69" s="86"/>
    </row>
    <row r="70" spans="1:14" ht="18" customHeight="1" x14ac:dyDescent="0.3">
      <c r="A70" s="61" t="s">
        <v>521</v>
      </c>
      <c r="C70" s="93"/>
      <c r="D70" s="86"/>
      <c r="E70" s="93"/>
      <c r="F70" s="86"/>
      <c r="G70" s="93"/>
      <c r="H70" s="86"/>
      <c r="I70" s="93"/>
      <c r="J70" s="86"/>
      <c r="K70" s="93"/>
      <c r="L70" s="86"/>
      <c r="M70" s="93">
        <f>+C70-E70+G70</f>
        <v>0</v>
      </c>
      <c r="N70" s="167" t="s">
        <v>522</v>
      </c>
    </row>
    <row r="71" spans="1:14" ht="18" customHeight="1" x14ac:dyDescent="0.3">
      <c r="A71" s="61" t="s">
        <v>523</v>
      </c>
      <c r="C71" s="93"/>
      <c r="D71" s="86"/>
      <c r="E71" s="93"/>
      <c r="F71" s="86"/>
      <c r="G71" s="93"/>
      <c r="H71" s="86"/>
      <c r="I71" s="93"/>
      <c r="J71" s="86"/>
      <c r="K71" s="93"/>
      <c r="L71" s="86"/>
      <c r="M71" s="93">
        <f>+C71-E71+G71</f>
        <v>0</v>
      </c>
      <c r="N71" s="167" t="s">
        <v>522</v>
      </c>
    </row>
    <row r="72" spans="1:14" ht="18" customHeight="1" x14ac:dyDescent="0.3">
      <c r="A72" s="61" t="s">
        <v>524</v>
      </c>
      <c r="C72" s="93"/>
      <c r="D72" s="86"/>
      <c r="E72" s="93"/>
      <c r="F72" s="86"/>
      <c r="G72" s="93"/>
      <c r="H72" s="86"/>
      <c r="I72" s="93"/>
      <c r="J72" s="86"/>
      <c r="K72" s="93"/>
      <c r="L72" s="86"/>
      <c r="M72" s="93">
        <f>+C72-E72+G72</f>
        <v>0</v>
      </c>
      <c r="N72" s="167" t="s">
        <v>522</v>
      </c>
    </row>
    <row r="73" spans="1:14" ht="18" customHeight="1" x14ac:dyDescent="0.3">
      <c r="A73" s="61" t="s">
        <v>525</v>
      </c>
      <c r="C73" s="93"/>
      <c r="D73" s="86"/>
      <c r="E73" s="93"/>
      <c r="F73" s="86"/>
      <c r="G73" s="93"/>
      <c r="H73" s="86"/>
      <c r="I73" s="93"/>
      <c r="J73" s="86"/>
      <c r="K73" s="93"/>
      <c r="L73" s="86"/>
      <c r="M73" s="93">
        <f>+C73-E73+G73</f>
        <v>0</v>
      </c>
      <c r="N73" s="167" t="s">
        <v>522</v>
      </c>
    </row>
    <row r="74" spans="1:14" ht="18" customHeight="1" x14ac:dyDescent="0.3">
      <c r="A74" s="61" t="s">
        <v>526</v>
      </c>
      <c r="C74" s="86"/>
      <c r="D74" s="86"/>
      <c r="E74" s="86"/>
      <c r="F74" s="86"/>
      <c r="G74" s="86"/>
      <c r="H74" s="86"/>
      <c r="I74" s="86"/>
      <c r="J74" s="86"/>
      <c r="K74" s="86"/>
      <c r="L74" s="86"/>
      <c r="M74" s="86"/>
    </row>
    <row r="75" spans="1:14" ht="18" customHeight="1" x14ac:dyDescent="0.3">
      <c r="A75" s="82" t="s">
        <v>527</v>
      </c>
      <c r="C75" s="93"/>
      <c r="D75" s="86"/>
      <c r="E75" s="93"/>
      <c r="F75" s="86"/>
      <c r="G75" s="93"/>
      <c r="H75" s="86"/>
      <c r="I75" s="93"/>
      <c r="J75" s="86"/>
      <c r="K75" s="93"/>
      <c r="L75" s="86"/>
      <c r="M75" s="93">
        <f>+C75-E75+G75</f>
        <v>0</v>
      </c>
      <c r="N75" s="167" t="s">
        <v>528</v>
      </c>
    </row>
    <row r="76" spans="1:14" ht="18" customHeight="1" x14ac:dyDescent="0.3">
      <c r="A76" s="61" t="s">
        <v>529</v>
      </c>
      <c r="C76" s="93"/>
      <c r="D76" s="86"/>
      <c r="E76" s="93"/>
      <c r="F76" s="86"/>
      <c r="G76" s="93"/>
      <c r="H76" s="86"/>
      <c r="I76" s="93"/>
      <c r="J76" s="86"/>
      <c r="K76" s="93"/>
      <c r="L76" s="86"/>
      <c r="M76" s="93">
        <f>+C76-E76+G76</f>
        <v>0</v>
      </c>
      <c r="N76" s="167" t="s">
        <v>528</v>
      </c>
    </row>
    <row r="77" spans="1:14" ht="18" customHeight="1" x14ac:dyDescent="0.3">
      <c r="A77" s="61" t="s">
        <v>530</v>
      </c>
      <c r="C77" s="86"/>
      <c r="D77" s="86"/>
      <c r="E77" s="86"/>
      <c r="F77" s="86"/>
      <c r="G77" s="86"/>
      <c r="H77" s="86"/>
      <c r="I77" s="86"/>
      <c r="J77" s="86"/>
      <c r="K77" s="86"/>
      <c r="L77" s="86"/>
      <c r="M77" s="86"/>
    </row>
    <row r="78" spans="1:14" ht="18" customHeight="1" x14ac:dyDescent="0.3">
      <c r="A78" s="61" t="s">
        <v>531</v>
      </c>
      <c r="C78" s="93"/>
      <c r="D78" s="85"/>
      <c r="E78" s="93"/>
      <c r="F78" s="85"/>
      <c r="G78" s="93"/>
      <c r="H78" s="85"/>
      <c r="I78" s="93"/>
      <c r="J78" s="93"/>
      <c r="K78" s="93"/>
      <c r="L78" s="93"/>
      <c r="M78" s="93">
        <f t="shared" ref="M78:M83" si="3">+C78-E78+G78</f>
        <v>0</v>
      </c>
      <c r="N78" s="167" t="s">
        <v>532</v>
      </c>
    </row>
    <row r="79" spans="1:14" ht="18" customHeight="1" x14ac:dyDescent="0.3">
      <c r="A79" s="61" t="s">
        <v>533</v>
      </c>
      <c r="C79" s="93"/>
      <c r="D79" s="86"/>
      <c r="E79" s="93"/>
      <c r="F79" s="86"/>
      <c r="G79" s="93"/>
      <c r="H79" s="86"/>
      <c r="I79" s="93"/>
      <c r="J79" s="86"/>
      <c r="K79" s="93"/>
      <c r="L79" s="86"/>
      <c r="M79" s="93">
        <f t="shared" si="3"/>
        <v>0</v>
      </c>
      <c r="N79" s="167" t="s">
        <v>532</v>
      </c>
    </row>
    <row r="80" spans="1:14" ht="18" customHeight="1" x14ac:dyDescent="0.3">
      <c r="A80" s="61" t="s">
        <v>534</v>
      </c>
      <c r="C80" s="93"/>
      <c r="D80" s="86"/>
      <c r="E80" s="93"/>
      <c r="F80" s="86"/>
      <c r="G80" s="93"/>
      <c r="H80" s="86"/>
      <c r="I80" s="93"/>
      <c r="J80" s="86"/>
      <c r="K80" s="93"/>
      <c r="L80" s="86"/>
      <c r="M80" s="93">
        <f t="shared" si="3"/>
        <v>0</v>
      </c>
      <c r="N80" s="167" t="s">
        <v>514</v>
      </c>
    </row>
    <row r="81" spans="1:14" ht="18" customHeight="1" x14ac:dyDescent="0.3">
      <c r="A81" s="61" t="s">
        <v>535</v>
      </c>
      <c r="C81" s="93"/>
      <c r="D81" s="86"/>
      <c r="E81" s="93"/>
      <c r="F81" s="86"/>
      <c r="G81" s="93"/>
      <c r="H81" s="86"/>
      <c r="I81" s="93"/>
      <c r="J81" s="86"/>
      <c r="K81" s="93"/>
      <c r="L81" s="86"/>
      <c r="M81" s="93">
        <f t="shared" si="3"/>
        <v>0</v>
      </c>
      <c r="N81" s="167" t="s">
        <v>532</v>
      </c>
    </row>
    <row r="82" spans="1:14" ht="18" customHeight="1" x14ac:dyDescent="0.3">
      <c r="A82" s="61" t="s">
        <v>536</v>
      </c>
      <c r="C82" s="93"/>
      <c r="D82" s="86"/>
      <c r="E82" s="93"/>
      <c r="F82" s="86"/>
      <c r="G82" s="93"/>
      <c r="H82" s="86"/>
      <c r="I82" s="93"/>
      <c r="J82" s="86"/>
      <c r="K82" s="93"/>
      <c r="L82" s="86"/>
      <c r="M82" s="93">
        <f t="shared" si="3"/>
        <v>0</v>
      </c>
      <c r="N82" s="167" t="s">
        <v>532</v>
      </c>
    </row>
    <row r="83" spans="1:14" ht="18" customHeight="1" x14ac:dyDescent="0.3">
      <c r="A83" s="61" t="s">
        <v>537</v>
      </c>
      <c r="C83" s="94"/>
      <c r="D83" s="86"/>
      <c r="E83" s="94"/>
      <c r="F83" s="86"/>
      <c r="G83" s="94"/>
      <c r="H83" s="86"/>
      <c r="I83" s="85"/>
      <c r="J83" s="86"/>
      <c r="K83" s="85"/>
      <c r="L83" s="86"/>
      <c r="M83" s="93">
        <f t="shared" si="3"/>
        <v>0</v>
      </c>
      <c r="N83" s="167" t="s">
        <v>532</v>
      </c>
    </row>
    <row r="84" spans="1:14" ht="18" customHeight="1" x14ac:dyDescent="0.3">
      <c r="A84" s="61" t="s">
        <v>538</v>
      </c>
      <c r="C84" s="85"/>
      <c r="D84" s="85"/>
      <c r="E84" s="85"/>
      <c r="F84" s="85"/>
      <c r="G84" s="85"/>
      <c r="H84" s="85"/>
      <c r="I84" s="85"/>
      <c r="J84" s="85"/>
      <c r="K84" s="85"/>
      <c r="L84" s="85"/>
      <c r="M84" s="85"/>
      <c r="N84" s="188"/>
    </row>
    <row r="85" spans="1:14" ht="18" customHeight="1" x14ac:dyDescent="0.3">
      <c r="A85" s="61" t="s">
        <v>539</v>
      </c>
      <c r="C85" s="93"/>
      <c r="D85" s="86"/>
      <c r="E85" s="93"/>
      <c r="F85" s="86"/>
      <c r="G85" s="93"/>
      <c r="H85" s="86"/>
      <c r="I85" s="93"/>
      <c r="J85" s="86"/>
      <c r="K85" s="93"/>
      <c r="L85" s="86"/>
      <c r="M85" s="93">
        <f t="shared" ref="M85:M95" si="4">+C85-E85+G85</f>
        <v>0</v>
      </c>
      <c r="N85" s="167" t="s">
        <v>532</v>
      </c>
    </row>
    <row r="86" spans="1:14" ht="18" customHeight="1" x14ac:dyDescent="0.3">
      <c r="A86" s="61" t="s">
        <v>540</v>
      </c>
      <c r="C86" s="93"/>
      <c r="D86" s="86"/>
      <c r="E86" s="93"/>
      <c r="F86" s="86"/>
      <c r="G86" s="93"/>
      <c r="H86" s="86"/>
      <c r="I86" s="93"/>
      <c r="J86" s="86"/>
      <c r="K86" s="93"/>
      <c r="L86" s="86"/>
      <c r="M86" s="93">
        <f t="shared" si="4"/>
        <v>0</v>
      </c>
      <c r="N86" s="167" t="s">
        <v>532</v>
      </c>
    </row>
    <row r="87" spans="1:14" ht="18" customHeight="1" x14ac:dyDescent="0.3">
      <c r="A87" s="61" t="s">
        <v>541</v>
      </c>
      <c r="C87" s="93"/>
      <c r="D87" s="86"/>
      <c r="E87" s="93"/>
      <c r="F87" s="86"/>
      <c r="G87" s="93"/>
      <c r="H87" s="86"/>
      <c r="I87" s="93"/>
      <c r="J87" s="86"/>
      <c r="K87" s="93"/>
      <c r="L87" s="86"/>
      <c r="M87" s="93">
        <f t="shared" si="4"/>
        <v>0</v>
      </c>
      <c r="N87" s="167" t="s">
        <v>532</v>
      </c>
    </row>
    <row r="88" spans="1:14" ht="18" customHeight="1" x14ac:dyDescent="0.3">
      <c r="A88" s="61" t="s">
        <v>542</v>
      </c>
      <c r="C88" s="93"/>
      <c r="D88" s="86"/>
      <c r="E88" s="93"/>
      <c r="F88" s="86"/>
      <c r="G88" s="93"/>
      <c r="H88" s="86"/>
      <c r="I88" s="93"/>
      <c r="J88" s="86"/>
      <c r="K88" s="93"/>
      <c r="L88" s="86"/>
      <c r="M88" s="93">
        <f t="shared" si="4"/>
        <v>0</v>
      </c>
      <c r="N88" s="167" t="s">
        <v>532</v>
      </c>
    </row>
    <row r="89" spans="1:14" ht="18" customHeight="1" x14ac:dyDescent="0.3">
      <c r="A89" s="61" t="s">
        <v>543</v>
      </c>
      <c r="C89" s="93"/>
      <c r="D89" s="86"/>
      <c r="E89" s="93"/>
      <c r="F89" s="86"/>
      <c r="G89" s="93"/>
      <c r="H89" s="86"/>
      <c r="I89" s="93"/>
      <c r="J89" s="86"/>
      <c r="K89" s="93"/>
      <c r="L89" s="86"/>
      <c r="M89" s="93">
        <f t="shared" si="4"/>
        <v>0</v>
      </c>
      <c r="N89" s="167" t="s">
        <v>532</v>
      </c>
    </row>
    <row r="90" spans="1:14" ht="18" customHeight="1" x14ac:dyDescent="0.3">
      <c r="A90" s="61" t="s">
        <v>544</v>
      </c>
      <c r="C90" s="93"/>
      <c r="D90" s="86"/>
      <c r="E90" s="93"/>
      <c r="F90" s="86"/>
      <c r="G90" s="93"/>
      <c r="H90" s="86"/>
      <c r="I90" s="93"/>
      <c r="J90" s="86"/>
      <c r="K90" s="93"/>
      <c r="L90" s="86"/>
      <c r="M90" s="93">
        <f t="shared" si="4"/>
        <v>0</v>
      </c>
      <c r="N90" s="167" t="s">
        <v>532</v>
      </c>
    </row>
    <row r="91" spans="1:14" ht="18" customHeight="1" x14ac:dyDescent="0.3">
      <c r="A91" s="61" t="s">
        <v>545</v>
      </c>
      <c r="C91" s="94"/>
      <c r="D91" s="86"/>
      <c r="E91" s="94"/>
      <c r="F91" s="86"/>
      <c r="G91" s="94"/>
      <c r="H91" s="86"/>
      <c r="I91" s="93"/>
      <c r="J91" s="86"/>
      <c r="K91" s="93"/>
      <c r="L91" s="86"/>
      <c r="M91" s="93">
        <f t="shared" si="4"/>
        <v>0</v>
      </c>
      <c r="N91" s="167" t="s">
        <v>532</v>
      </c>
    </row>
    <row r="92" spans="1:14" ht="18" customHeight="1" x14ac:dyDescent="0.3">
      <c r="A92" s="61" t="s">
        <v>546</v>
      </c>
      <c r="C92" s="94"/>
      <c r="D92" s="85"/>
      <c r="E92" s="94"/>
      <c r="F92" s="85"/>
      <c r="G92" s="94"/>
      <c r="H92" s="86"/>
      <c r="I92" s="93"/>
      <c r="J92" s="86"/>
      <c r="K92" s="93"/>
      <c r="L92" s="86"/>
      <c r="M92" s="93">
        <f t="shared" si="4"/>
        <v>0</v>
      </c>
      <c r="N92" s="167" t="s">
        <v>547</v>
      </c>
    </row>
    <row r="93" spans="1:14" ht="18" customHeight="1" x14ac:dyDescent="0.3">
      <c r="A93" s="61" t="s">
        <v>548</v>
      </c>
      <c r="C93" s="93"/>
      <c r="D93" s="85"/>
      <c r="E93" s="93"/>
      <c r="F93" s="85"/>
      <c r="G93" s="93"/>
      <c r="H93" s="86"/>
      <c r="I93" s="93"/>
      <c r="J93" s="86"/>
      <c r="K93" s="93"/>
      <c r="L93" s="86"/>
      <c r="M93" s="93">
        <f t="shared" si="4"/>
        <v>0</v>
      </c>
      <c r="N93" s="167" t="s">
        <v>549</v>
      </c>
    </row>
    <row r="94" spans="1:14" ht="18" customHeight="1" x14ac:dyDescent="0.3">
      <c r="A94" s="61" t="s">
        <v>550</v>
      </c>
      <c r="C94" s="93"/>
      <c r="D94" s="86"/>
      <c r="E94" s="93"/>
      <c r="F94" s="86"/>
      <c r="G94" s="93"/>
      <c r="H94" s="86"/>
      <c r="I94" s="93"/>
      <c r="J94" s="86"/>
      <c r="K94" s="93"/>
      <c r="L94" s="86"/>
      <c r="M94" s="93">
        <f t="shared" si="4"/>
        <v>0</v>
      </c>
      <c r="N94" s="167" t="s">
        <v>551</v>
      </c>
    </row>
    <row r="95" spans="1:14" ht="18" customHeight="1" x14ac:dyDescent="0.3">
      <c r="A95" s="61" t="s">
        <v>552</v>
      </c>
      <c r="C95" s="93"/>
      <c r="D95" s="86"/>
      <c r="E95" s="93"/>
      <c r="F95" s="86"/>
      <c r="G95" s="93"/>
      <c r="H95" s="86"/>
      <c r="I95" s="93"/>
      <c r="J95" s="86"/>
      <c r="K95" s="93"/>
      <c r="L95" s="86"/>
      <c r="M95" s="93">
        <f t="shared" si="4"/>
        <v>0</v>
      </c>
      <c r="N95" s="167" t="s">
        <v>553</v>
      </c>
    </row>
    <row r="96" spans="1:14" ht="18" customHeight="1" x14ac:dyDescent="0.3">
      <c r="C96" s="85"/>
      <c r="D96" s="86"/>
      <c r="E96" s="85"/>
      <c r="F96" s="86"/>
      <c r="G96" s="85"/>
      <c r="H96" s="86"/>
      <c r="I96" s="85"/>
      <c r="J96" s="86"/>
      <c r="K96" s="85"/>
      <c r="L96" s="86"/>
      <c r="M96" s="85"/>
    </row>
    <row r="97" spans="1:14" ht="18" customHeight="1" x14ac:dyDescent="0.3">
      <c r="A97" s="61" t="s">
        <v>554</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555</v>
      </c>
      <c r="C99" s="86"/>
      <c r="D99" s="86"/>
      <c r="E99" s="86"/>
      <c r="F99" s="86"/>
      <c r="G99" s="86"/>
      <c r="H99" s="86"/>
      <c r="I99" s="86"/>
      <c r="J99" s="86"/>
      <c r="K99" s="86"/>
      <c r="L99" s="86"/>
      <c r="M99" s="86"/>
    </row>
    <row r="100" spans="1:14" ht="18" customHeight="1" x14ac:dyDescent="0.3">
      <c r="A100" s="61" t="s">
        <v>556</v>
      </c>
      <c r="C100" s="93"/>
      <c r="D100" s="86"/>
      <c r="E100" s="93"/>
      <c r="F100" s="86"/>
      <c r="G100" s="93"/>
      <c r="H100" s="86"/>
      <c r="I100" s="93"/>
      <c r="J100" s="86"/>
      <c r="K100" s="93"/>
      <c r="L100" s="86"/>
      <c r="M100" s="93">
        <f>+C100-E100+G100</f>
        <v>0</v>
      </c>
      <c r="N100" s="167" t="s">
        <v>557</v>
      </c>
    </row>
    <row r="101" spans="1:14" ht="18" customHeight="1" x14ac:dyDescent="0.3">
      <c r="A101" s="61" t="s">
        <v>558</v>
      </c>
      <c r="C101" s="93"/>
      <c r="D101" s="86"/>
      <c r="E101" s="93"/>
      <c r="F101" s="86"/>
      <c r="G101" s="93"/>
      <c r="H101" s="86"/>
      <c r="I101" s="93"/>
      <c r="J101" s="86"/>
      <c r="K101" s="93"/>
      <c r="L101" s="86"/>
      <c r="M101" s="93">
        <f>+C101-E101+G101</f>
        <v>0</v>
      </c>
      <c r="N101" s="167" t="s">
        <v>557</v>
      </c>
    </row>
    <row r="102" spans="1:14" ht="18" customHeight="1" x14ac:dyDescent="0.3">
      <c r="A102" s="61" t="s">
        <v>559</v>
      </c>
      <c r="C102" s="93"/>
      <c r="D102" s="86"/>
      <c r="E102" s="93"/>
      <c r="F102" s="86"/>
      <c r="G102" s="93"/>
      <c r="H102" s="86"/>
      <c r="I102" s="93"/>
      <c r="J102" s="86"/>
      <c r="K102" s="93"/>
      <c r="L102" s="86"/>
      <c r="M102" s="93">
        <f>+C102-E102+G102</f>
        <v>0</v>
      </c>
      <c r="N102" s="167" t="s">
        <v>557</v>
      </c>
    </row>
    <row r="103" spans="1:14" ht="18" customHeight="1" x14ac:dyDescent="0.3">
      <c r="A103" s="61" t="s">
        <v>560</v>
      </c>
      <c r="C103" s="93"/>
      <c r="D103" s="86"/>
      <c r="E103" s="93"/>
      <c r="F103" s="86"/>
      <c r="G103" s="93"/>
      <c r="H103" s="86"/>
      <c r="I103" s="93"/>
      <c r="J103" s="86"/>
      <c r="K103" s="93"/>
      <c r="L103" s="86"/>
      <c r="M103" s="93">
        <f>+C103-E103+G103</f>
        <v>0</v>
      </c>
      <c r="N103" s="167" t="s">
        <v>557</v>
      </c>
    </row>
    <row r="104" spans="1:14" ht="18" customHeight="1" x14ac:dyDescent="0.3">
      <c r="C104" s="85"/>
      <c r="D104" s="86"/>
      <c r="E104" s="85"/>
      <c r="F104" s="86"/>
      <c r="G104" s="85"/>
      <c r="H104" s="86"/>
      <c r="I104" s="85"/>
      <c r="J104" s="86"/>
      <c r="K104" s="85"/>
      <c r="L104" s="86"/>
      <c r="M104" s="85"/>
    </row>
    <row r="105" spans="1:14" ht="18" customHeight="1" x14ac:dyDescent="0.3">
      <c r="A105" s="61" t="s">
        <v>561</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562</v>
      </c>
      <c r="C107" s="85"/>
      <c r="D107" s="85"/>
      <c r="E107" s="85"/>
      <c r="F107" s="85"/>
      <c r="G107" s="85"/>
      <c r="H107" s="85"/>
      <c r="I107" s="85"/>
      <c r="J107" s="85"/>
      <c r="K107" s="85"/>
      <c r="L107" s="85"/>
      <c r="M107" s="85"/>
    </row>
    <row r="108" spans="1:14" ht="18" customHeight="1" x14ac:dyDescent="0.3">
      <c r="A108" s="61" t="s">
        <v>563</v>
      </c>
      <c r="C108" s="93"/>
      <c r="D108" s="86"/>
      <c r="E108" s="93"/>
      <c r="F108" s="86"/>
      <c r="G108" s="93"/>
      <c r="H108" s="86"/>
      <c r="I108" s="93"/>
      <c r="J108" s="86"/>
      <c r="K108" s="93"/>
      <c r="L108" s="86"/>
      <c r="M108" s="93">
        <f>+C108-E108+G108</f>
        <v>0</v>
      </c>
      <c r="N108" s="167" t="s">
        <v>564</v>
      </c>
    </row>
    <row r="109" spans="1:14" ht="18" customHeight="1" x14ac:dyDescent="0.3">
      <c r="A109" s="61" t="s">
        <v>565</v>
      </c>
      <c r="C109" s="93"/>
      <c r="D109" s="86"/>
      <c r="E109" s="93"/>
      <c r="F109" s="86"/>
      <c r="G109" s="93"/>
      <c r="H109" s="86"/>
      <c r="I109" s="93"/>
      <c r="J109" s="86"/>
      <c r="K109" s="93"/>
      <c r="L109" s="86"/>
      <c r="M109" s="93">
        <f>+C109-E109+G109</f>
        <v>0</v>
      </c>
      <c r="N109" s="167" t="s">
        <v>465</v>
      </c>
    </row>
    <row r="110" spans="1:14" ht="18" customHeight="1" x14ac:dyDescent="0.3">
      <c r="A110" s="61" t="s">
        <v>566</v>
      </c>
      <c r="C110" s="93"/>
      <c r="D110" s="86"/>
      <c r="E110" s="93"/>
      <c r="F110" s="86"/>
      <c r="G110" s="93"/>
      <c r="H110" s="86"/>
      <c r="I110" s="93"/>
      <c r="J110" s="86"/>
      <c r="K110" s="93"/>
      <c r="L110" s="86"/>
      <c r="M110" s="93">
        <f>+C110-E110+G110</f>
        <v>0</v>
      </c>
      <c r="N110" s="167" t="s">
        <v>567</v>
      </c>
    </row>
    <row r="111" spans="1:14" ht="18" customHeight="1" x14ac:dyDescent="0.3">
      <c r="A111" s="61" t="s">
        <v>568</v>
      </c>
      <c r="C111" s="93"/>
      <c r="D111" s="86"/>
      <c r="E111" s="93"/>
      <c r="F111" s="86"/>
      <c r="G111" s="93"/>
      <c r="H111" s="86"/>
      <c r="I111" s="93"/>
      <c r="J111" s="86"/>
      <c r="K111" s="93"/>
      <c r="L111" s="86"/>
      <c r="M111" s="93">
        <f>+C111-E111+G111</f>
        <v>0</v>
      </c>
      <c r="N111" s="167" t="s">
        <v>569</v>
      </c>
    </row>
    <row r="112" spans="1:14" ht="18" customHeight="1" x14ac:dyDescent="0.3">
      <c r="A112" s="61" t="s">
        <v>570</v>
      </c>
      <c r="C112" s="86"/>
      <c r="D112" s="86"/>
      <c r="E112" s="86"/>
      <c r="F112" s="86"/>
      <c r="G112" s="86"/>
      <c r="H112" s="86"/>
      <c r="I112" s="86"/>
      <c r="J112" s="86"/>
      <c r="K112" s="86"/>
      <c r="L112" s="86"/>
      <c r="M112" s="86"/>
    </row>
    <row r="113" spans="1:17" ht="18" customHeight="1" x14ac:dyDescent="0.3">
      <c r="A113" s="61" t="s">
        <v>571</v>
      </c>
      <c r="C113" s="93"/>
      <c r="D113" s="86"/>
      <c r="E113" s="93"/>
      <c r="F113" s="86"/>
      <c r="G113" s="93"/>
      <c r="H113" s="86"/>
      <c r="I113" s="93"/>
      <c r="J113" s="86"/>
      <c r="K113" s="93"/>
      <c r="L113" s="86"/>
      <c r="M113" s="93">
        <f>+C113-E113+G113</f>
        <v>0</v>
      </c>
      <c r="N113" s="167" t="s">
        <v>572</v>
      </c>
    </row>
    <row r="114" spans="1:17" ht="18" customHeight="1" x14ac:dyDescent="0.3">
      <c r="A114" s="61" t="s">
        <v>573</v>
      </c>
      <c r="C114" s="93"/>
      <c r="D114" s="86"/>
      <c r="E114" s="93"/>
      <c r="F114" s="86"/>
      <c r="G114" s="93"/>
      <c r="H114" s="86"/>
      <c r="I114" s="93"/>
      <c r="J114" s="86"/>
      <c r="K114" s="93"/>
      <c r="L114" s="86"/>
      <c r="M114" s="93">
        <f>+C114-E114+G114</f>
        <v>0</v>
      </c>
      <c r="N114" s="167" t="s">
        <v>572</v>
      </c>
    </row>
    <row r="115" spans="1:17" ht="18" customHeight="1" x14ac:dyDescent="0.3">
      <c r="C115" s="85"/>
      <c r="D115" s="86"/>
      <c r="E115" s="85"/>
      <c r="F115" s="86"/>
      <c r="G115" s="85"/>
      <c r="H115" s="86"/>
      <c r="I115" s="85"/>
      <c r="J115" s="86"/>
      <c r="K115" s="85"/>
      <c r="L115" s="86"/>
      <c r="M115" s="85"/>
    </row>
    <row r="116" spans="1:17" ht="18" customHeight="1" x14ac:dyDescent="0.3">
      <c r="A116" s="61" t="s">
        <v>574</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193</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194</v>
      </c>
      <c r="C120" s="86"/>
      <c r="D120" s="86"/>
      <c r="E120" s="86"/>
      <c r="F120" s="86"/>
      <c r="G120" s="86"/>
      <c r="H120" s="86"/>
      <c r="I120" s="86"/>
      <c r="J120" s="86"/>
      <c r="K120" s="86"/>
      <c r="L120" s="86"/>
      <c r="M120" s="86"/>
    </row>
    <row r="121" spans="1:17" ht="18" customHeight="1" x14ac:dyDescent="0.3">
      <c r="A121" s="61" t="s">
        <v>575</v>
      </c>
      <c r="C121" s="91"/>
      <c r="D121" s="91"/>
      <c r="E121" s="91"/>
      <c r="F121" s="91"/>
      <c r="G121" s="91"/>
      <c r="H121" s="91"/>
      <c r="I121" s="91"/>
      <c r="J121" s="91"/>
      <c r="K121" s="91"/>
      <c r="L121" s="91"/>
      <c r="M121" s="91"/>
      <c r="N121" s="188"/>
    </row>
    <row r="122" spans="1:17" ht="18" customHeight="1" x14ac:dyDescent="0.3">
      <c r="A122" s="61" t="s">
        <v>576</v>
      </c>
      <c r="C122" s="86"/>
      <c r="D122" s="86"/>
      <c r="E122" s="86"/>
      <c r="F122" s="86"/>
      <c r="G122" s="86"/>
      <c r="H122" s="86"/>
      <c r="I122" s="86"/>
      <c r="J122" s="86"/>
      <c r="K122" s="86"/>
      <c r="L122" s="86"/>
      <c r="M122" s="86"/>
    </row>
    <row r="123" spans="1:17" ht="18" customHeight="1" x14ac:dyDescent="0.3">
      <c r="A123" s="58" t="s">
        <v>742</v>
      </c>
      <c r="C123" s="93"/>
      <c r="D123" s="86"/>
      <c r="E123" s="196">
        <f>Reconciliations!C22</f>
        <v>0</v>
      </c>
      <c r="F123" s="86" t="s">
        <v>133</v>
      </c>
      <c r="G123" s="196">
        <f>Reconciliations!D22</f>
        <v>49136.873795294538</v>
      </c>
      <c r="H123" s="86" t="s">
        <v>133</v>
      </c>
      <c r="I123" s="93"/>
      <c r="J123" s="86"/>
      <c r="K123" s="93"/>
      <c r="L123" s="86"/>
      <c r="M123" s="93">
        <f>+C123+E123+E124+E125-G123-G124-G125</f>
        <v>-49681.613795294543</v>
      </c>
      <c r="N123" s="198" t="s">
        <v>135</v>
      </c>
    </row>
    <row r="124" spans="1:17" ht="18" customHeight="1" x14ac:dyDescent="0.3">
      <c r="A124" s="73"/>
      <c r="C124" s="85"/>
      <c r="D124" s="86"/>
      <c r="E124" s="196">
        <f>Reconciliations!C38</f>
        <v>27238.5</v>
      </c>
      <c r="F124" s="86" t="s">
        <v>138</v>
      </c>
      <c r="G124" s="196">
        <f>Reconciliations!D38</f>
        <v>0</v>
      </c>
      <c r="H124" s="86" t="s">
        <v>138</v>
      </c>
      <c r="I124" s="93"/>
      <c r="J124" s="86"/>
      <c r="K124" s="93"/>
      <c r="L124" s="86"/>
      <c r="M124" s="85"/>
    </row>
    <row r="125" spans="1:17" ht="18" customHeight="1" x14ac:dyDescent="0.3">
      <c r="A125" s="73"/>
      <c r="C125" s="85"/>
      <c r="D125" s="86"/>
      <c r="E125" s="196">
        <f>Reconciliations!C52</f>
        <v>0</v>
      </c>
      <c r="F125" s="86" t="s">
        <v>140</v>
      </c>
      <c r="G125" s="196">
        <f>Reconciliations!D52</f>
        <v>27783.24</v>
      </c>
      <c r="H125" s="86" t="s">
        <v>140</v>
      </c>
      <c r="I125" s="93"/>
      <c r="J125" s="86"/>
      <c r="K125" s="93"/>
      <c r="L125" s="86"/>
      <c r="M125" s="85"/>
    </row>
    <row r="126" spans="1:17" ht="18" customHeight="1" x14ac:dyDescent="0.3">
      <c r="A126" s="61" t="s">
        <v>577</v>
      </c>
      <c r="C126" s="93"/>
      <c r="D126" s="86"/>
      <c r="E126" s="93"/>
      <c r="F126" s="86"/>
      <c r="G126" s="93"/>
      <c r="H126" s="86"/>
      <c r="I126" s="93"/>
      <c r="J126" s="86"/>
      <c r="K126" s="93"/>
      <c r="L126" s="86"/>
      <c r="M126" s="93">
        <f>+C126+E126-G126</f>
        <v>0</v>
      </c>
    </row>
    <row r="127" spans="1:17" ht="18" customHeight="1" x14ac:dyDescent="0.3">
      <c r="A127" s="61" t="s">
        <v>578</v>
      </c>
      <c r="C127" s="93"/>
      <c r="D127" s="86"/>
      <c r="E127" s="93"/>
      <c r="F127" s="86"/>
      <c r="G127" s="93"/>
      <c r="H127" s="86"/>
      <c r="I127" s="93"/>
      <c r="J127" s="86"/>
      <c r="K127" s="93"/>
      <c r="L127" s="86"/>
      <c r="M127" s="93">
        <f>+C127+E127-G127</f>
        <v>0</v>
      </c>
    </row>
    <row r="128" spans="1:17" ht="18" customHeight="1" x14ac:dyDescent="0.3">
      <c r="A128" s="61" t="s">
        <v>579</v>
      </c>
      <c r="C128" s="93"/>
      <c r="D128" s="86"/>
      <c r="E128" s="93"/>
      <c r="F128" s="86"/>
      <c r="G128" s="93"/>
      <c r="H128" s="86"/>
      <c r="I128" s="93"/>
      <c r="J128" s="86"/>
      <c r="K128" s="93"/>
      <c r="L128" s="86"/>
      <c r="M128" s="93">
        <f>+C128+E128-G128</f>
        <v>0</v>
      </c>
    </row>
    <row r="129" spans="1:13" ht="18" customHeight="1" x14ac:dyDescent="0.3">
      <c r="A129" s="61" t="s">
        <v>580</v>
      </c>
      <c r="C129" s="86"/>
      <c r="D129" s="86"/>
      <c r="E129" s="86"/>
      <c r="F129" s="86"/>
      <c r="G129" s="86"/>
      <c r="H129" s="86"/>
      <c r="I129" s="86"/>
      <c r="J129" s="86"/>
      <c r="K129" s="86"/>
      <c r="L129" s="86"/>
      <c r="M129" s="86"/>
    </row>
    <row r="130" spans="1:13" ht="18" customHeight="1" x14ac:dyDescent="0.3">
      <c r="A130" s="61" t="s">
        <v>581</v>
      </c>
      <c r="C130" s="93"/>
      <c r="D130" s="86"/>
      <c r="E130" s="93"/>
      <c r="F130" s="86"/>
      <c r="G130" s="93"/>
      <c r="H130" s="86"/>
      <c r="I130" s="93"/>
      <c r="J130" s="86"/>
      <c r="K130" s="93"/>
      <c r="L130" s="86"/>
      <c r="M130" s="93">
        <f>+C130+E130-G130</f>
        <v>0</v>
      </c>
    </row>
    <row r="131" spans="1:13" ht="18" customHeight="1" x14ac:dyDescent="0.3">
      <c r="A131" s="61" t="s">
        <v>582</v>
      </c>
      <c r="C131" s="93"/>
      <c r="D131" s="86"/>
      <c r="E131" s="93"/>
      <c r="F131" s="86"/>
      <c r="G131" s="93"/>
      <c r="H131" s="86"/>
      <c r="I131" s="93"/>
      <c r="J131" s="86"/>
      <c r="K131" s="93"/>
      <c r="L131" s="86"/>
      <c r="M131" s="93">
        <f>+C131+E131-G131</f>
        <v>0</v>
      </c>
    </row>
    <row r="132" spans="1:13" ht="18" customHeight="1" x14ac:dyDescent="0.3">
      <c r="A132" s="61" t="s">
        <v>583</v>
      </c>
      <c r="C132" s="93"/>
      <c r="D132" s="86"/>
      <c r="E132" s="93"/>
      <c r="F132" s="86"/>
      <c r="G132" s="93"/>
      <c r="H132" s="86"/>
      <c r="I132" s="93"/>
      <c r="J132" s="86"/>
      <c r="K132" s="93"/>
      <c r="L132" s="86"/>
      <c r="M132" s="93">
        <f>+C132+E132-G132</f>
        <v>0</v>
      </c>
    </row>
    <row r="133" spans="1:13" ht="18" customHeight="1" x14ac:dyDescent="0.3">
      <c r="A133" s="61" t="s">
        <v>584</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585</v>
      </c>
      <c r="C135" s="86"/>
      <c r="D135" s="86"/>
      <c r="E135" s="86"/>
      <c r="F135" s="86"/>
      <c r="G135" s="86"/>
      <c r="H135" s="86"/>
      <c r="I135" s="86"/>
      <c r="J135" s="86"/>
      <c r="K135" s="86"/>
      <c r="L135" s="86"/>
      <c r="M135" s="86"/>
    </row>
    <row r="136" spans="1:13" ht="18" customHeight="1" x14ac:dyDescent="0.3">
      <c r="A136" s="61" t="s">
        <v>586</v>
      </c>
      <c r="C136" s="93"/>
      <c r="D136" s="86"/>
      <c r="E136" s="93"/>
      <c r="F136" s="86"/>
      <c r="G136" s="93"/>
      <c r="H136" s="86"/>
      <c r="I136" s="93"/>
      <c r="J136" s="86"/>
      <c r="K136" s="93"/>
      <c r="L136" s="86"/>
      <c r="M136" s="93">
        <f>+C136+E136-G136</f>
        <v>0</v>
      </c>
    </row>
    <row r="137" spans="1:13" ht="18" customHeight="1" x14ac:dyDescent="0.3">
      <c r="A137" s="61" t="s">
        <v>587</v>
      </c>
      <c r="C137" s="93"/>
      <c r="D137" s="86"/>
      <c r="E137" s="93"/>
      <c r="F137" s="86"/>
      <c r="G137" s="93"/>
      <c r="H137" s="86"/>
      <c r="I137" s="93"/>
      <c r="J137" s="86"/>
      <c r="K137" s="93"/>
      <c r="L137" s="86"/>
      <c r="M137" s="93">
        <f>+C137+E137-G137</f>
        <v>0</v>
      </c>
    </row>
    <row r="138" spans="1:13" ht="18" customHeight="1" x14ac:dyDescent="0.3">
      <c r="A138" s="61" t="s">
        <v>588</v>
      </c>
      <c r="C138" s="93"/>
      <c r="D138" s="86"/>
      <c r="E138" s="93"/>
      <c r="F138" s="86"/>
      <c r="G138" s="93"/>
      <c r="H138" s="86"/>
      <c r="I138" s="93"/>
      <c r="J138" s="86"/>
      <c r="K138" s="93"/>
      <c r="L138" s="86"/>
      <c r="M138" s="93">
        <f>+C138+E138-G138</f>
        <v>0</v>
      </c>
    </row>
    <row r="139" spans="1:13" ht="18" customHeight="1" x14ac:dyDescent="0.3">
      <c r="A139" s="61" t="s">
        <v>589</v>
      </c>
      <c r="C139" s="86"/>
      <c r="D139" s="86"/>
      <c r="E139" s="86"/>
      <c r="F139" s="86"/>
      <c r="G139" s="86"/>
      <c r="H139" s="86"/>
      <c r="I139" s="86"/>
      <c r="J139" s="86"/>
      <c r="K139" s="86"/>
      <c r="L139" s="86"/>
      <c r="M139" s="86"/>
    </row>
    <row r="140" spans="1:13" ht="18" customHeight="1" x14ac:dyDescent="0.3">
      <c r="A140" s="61" t="s">
        <v>590</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591</v>
      </c>
      <c r="C142" s="86"/>
      <c r="D142" s="86"/>
      <c r="E142" s="86"/>
      <c r="F142" s="86"/>
      <c r="G142" s="86"/>
      <c r="H142" s="86"/>
      <c r="I142" s="86"/>
      <c r="J142" s="86"/>
      <c r="K142" s="86"/>
      <c r="L142" s="86"/>
      <c r="M142" s="86"/>
    </row>
    <row r="143" spans="1:13" ht="18" customHeight="1" x14ac:dyDescent="0.3">
      <c r="A143" s="61" t="s">
        <v>592</v>
      </c>
      <c r="C143" s="93"/>
      <c r="D143" s="86"/>
      <c r="E143" s="93"/>
      <c r="F143" s="86"/>
      <c r="G143" s="93"/>
      <c r="H143" s="86"/>
      <c r="I143" s="93"/>
      <c r="J143" s="86"/>
      <c r="K143" s="93"/>
      <c r="L143" s="86"/>
      <c r="M143" s="93">
        <f t="shared" ref="M143:M154" si="5">+C143+E143-G143</f>
        <v>0</v>
      </c>
    </row>
    <row r="144" spans="1:13" ht="18" customHeight="1" x14ac:dyDescent="0.3">
      <c r="A144" s="61" t="s">
        <v>593</v>
      </c>
      <c r="C144" s="93"/>
      <c r="D144" s="86"/>
      <c r="E144" s="93"/>
      <c r="F144" s="86"/>
      <c r="G144" s="93"/>
      <c r="H144" s="86"/>
      <c r="I144" s="93"/>
      <c r="J144" s="86"/>
      <c r="K144" s="93"/>
      <c r="L144" s="86"/>
      <c r="M144" s="93">
        <f t="shared" si="5"/>
        <v>0</v>
      </c>
    </row>
    <row r="145" spans="1:14" ht="18" customHeight="1" x14ac:dyDescent="0.3">
      <c r="A145" s="61" t="s">
        <v>594</v>
      </c>
      <c r="C145" s="93"/>
      <c r="D145" s="86"/>
      <c r="E145" s="93"/>
      <c r="F145" s="86"/>
      <c r="G145" s="93"/>
      <c r="H145" s="86"/>
      <c r="I145" s="93"/>
      <c r="J145" s="86"/>
      <c r="K145" s="93"/>
      <c r="L145" s="86"/>
      <c r="M145" s="93">
        <f t="shared" si="5"/>
        <v>0</v>
      </c>
    </row>
    <row r="146" spans="1:14" ht="18" customHeight="1" x14ac:dyDescent="0.3">
      <c r="A146" s="61" t="s">
        <v>595</v>
      </c>
      <c r="C146" s="93"/>
      <c r="D146" s="86"/>
      <c r="E146" s="93"/>
      <c r="F146" s="86"/>
      <c r="G146" s="93"/>
      <c r="H146" s="86"/>
      <c r="I146" s="93"/>
      <c r="J146" s="86"/>
      <c r="K146" s="93"/>
      <c r="L146" s="86"/>
      <c r="M146" s="93">
        <f t="shared" si="5"/>
        <v>0</v>
      </c>
    </row>
    <row r="147" spans="1:14" ht="18" customHeight="1" x14ac:dyDescent="0.3">
      <c r="A147" s="61" t="s">
        <v>596</v>
      </c>
      <c r="C147" s="93"/>
      <c r="D147" s="86"/>
      <c r="E147" s="93"/>
      <c r="F147" s="86"/>
      <c r="G147" s="93"/>
      <c r="H147" s="86"/>
      <c r="I147" s="93"/>
      <c r="J147" s="86"/>
      <c r="K147" s="93"/>
      <c r="L147" s="86"/>
      <c r="M147" s="93">
        <f t="shared" si="5"/>
        <v>0</v>
      </c>
    </row>
    <row r="148" spans="1:14" ht="18" customHeight="1" x14ac:dyDescent="0.3">
      <c r="A148" s="61" t="s">
        <v>597</v>
      </c>
      <c r="C148" s="93"/>
      <c r="D148" s="86"/>
      <c r="E148" s="93"/>
      <c r="F148" s="86"/>
      <c r="G148" s="93"/>
      <c r="H148" s="86"/>
      <c r="I148" s="93"/>
      <c r="J148" s="86"/>
      <c r="K148" s="93"/>
      <c r="L148" s="86"/>
      <c r="M148" s="93">
        <f t="shared" si="5"/>
        <v>0</v>
      </c>
    </row>
    <row r="149" spans="1:14" ht="18" customHeight="1" x14ac:dyDescent="0.3">
      <c r="A149" s="61" t="s">
        <v>598</v>
      </c>
      <c r="C149" s="93"/>
      <c r="D149" s="86"/>
      <c r="E149" s="93"/>
      <c r="F149" s="86"/>
      <c r="G149" s="93"/>
      <c r="H149" s="86"/>
      <c r="I149" s="93"/>
      <c r="J149" s="86"/>
      <c r="K149" s="93"/>
      <c r="L149" s="86"/>
      <c r="M149" s="93">
        <f t="shared" si="5"/>
        <v>0</v>
      </c>
    </row>
    <row r="150" spans="1:14" ht="18" customHeight="1" x14ac:dyDescent="0.3">
      <c r="A150" s="61" t="s">
        <v>599</v>
      </c>
      <c r="C150" s="93"/>
      <c r="D150" s="86"/>
      <c r="E150" s="93"/>
      <c r="F150" s="86"/>
      <c r="G150" s="93"/>
      <c r="H150" s="86"/>
      <c r="I150" s="93"/>
      <c r="J150" s="86"/>
      <c r="K150" s="93"/>
      <c r="L150" s="86"/>
      <c r="M150" s="93">
        <f t="shared" si="5"/>
        <v>0</v>
      </c>
    </row>
    <row r="151" spans="1:14" ht="18" customHeight="1" x14ac:dyDescent="0.3">
      <c r="A151" s="61" t="s">
        <v>600</v>
      </c>
      <c r="C151" s="93"/>
      <c r="D151" s="86"/>
      <c r="E151" s="93"/>
      <c r="F151" s="86"/>
      <c r="G151" s="93"/>
      <c r="H151" s="86"/>
      <c r="I151" s="93"/>
      <c r="J151" s="86"/>
      <c r="K151" s="93"/>
      <c r="L151" s="86"/>
      <c r="M151" s="93">
        <f>+C151+E151-G151</f>
        <v>0</v>
      </c>
    </row>
    <row r="152" spans="1:14" ht="18" customHeight="1" x14ac:dyDescent="0.3">
      <c r="A152" s="61" t="s">
        <v>601</v>
      </c>
      <c r="C152" s="93"/>
      <c r="D152" s="86"/>
      <c r="E152" s="93"/>
      <c r="F152" s="86"/>
      <c r="G152" s="93"/>
      <c r="H152" s="86"/>
      <c r="I152" s="93"/>
      <c r="J152" s="86"/>
      <c r="K152" s="93"/>
      <c r="L152" s="86"/>
      <c r="M152" s="93">
        <f>+C152+E152-G152</f>
        <v>0</v>
      </c>
    </row>
    <row r="153" spans="1:14" ht="18" customHeight="1" x14ac:dyDescent="0.3">
      <c r="A153" s="61" t="s">
        <v>602</v>
      </c>
      <c r="C153" s="93"/>
      <c r="D153" s="86"/>
      <c r="E153" s="93"/>
      <c r="F153" s="86"/>
      <c r="G153" s="93"/>
      <c r="H153" s="86"/>
      <c r="I153" s="93"/>
      <c r="J153" s="86"/>
      <c r="K153" s="93"/>
      <c r="L153" s="86"/>
      <c r="M153" s="93">
        <f>+C153+E153-G153</f>
        <v>0</v>
      </c>
    </row>
    <row r="154" spans="1:14" ht="18" customHeight="1" x14ac:dyDescent="0.3">
      <c r="A154" s="61" t="s">
        <v>603</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604</v>
      </c>
      <c r="C156" s="89">
        <f>SUM(C123:C154)</f>
        <v>0</v>
      </c>
      <c r="D156" s="86"/>
      <c r="E156" s="89">
        <f>SUM(E123:E154)</f>
        <v>27238.5</v>
      </c>
      <c r="F156" s="86"/>
      <c r="G156" s="89">
        <f>SUM(G123:G154)</f>
        <v>76920.113795294543</v>
      </c>
      <c r="H156" s="86"/>
      <c r="I156" s="89"/>
      <c r="J156" s="86"/>
      <c r="K156" s="89"/>
      <c r="L156" s="86"/>
      <c r="M156" s="89">
        <f>SUM(M123:M154)</f>
        <v>-49681.613795294543</v>
      </c>
      <c r="N156" s="167" t="s">
        <v>329</v>
      </c>
    </row>
    <row r="157" spans="1:14" ht="18" customHeight="1" x14ac:dyDescent="0.3">
      <c r="C157" s="86"/>
      <c r="D157" s="86"/>
      <c r="E157" s="86"/>
      <c r="F157" s="86"/>
      <c r="G157" s="86"/>
      <c r="H157" s="86"/>
      <c r="I157" s="86"/>
      <c r="J157" s="86"/>
      <c r="K157" s="86"/>
      <c r="L157" s="86"/>
      <c r="M157" s="86"/>
    </row>
    <row r="158" spans="1:14" ht="18" customHeight="1" x14ac:dyDescent="0.3">
      <c r="A158" s="61" t="s">
        <v>605</v>
      </c>
      <c r="C158" s="86"/>
      <c r="D158" s="86"/>
      <c r="E158" s="86"/>
      <c r="F158" s="86"/>
      <c r="G158" s="86"/>
      <c r="H158" s="86"/>
      <c r="I158" s="86"/>
      <c r="J158" s="86"/>
      <c r="K158" s="86"/>
      <c r="L158" s="86"/>
      <c r="M158" s="86"/>
    </row>
    <row r="159" spans="1:14" ht="18" customHeight="1" x14ac:dyDescent="0.3">
      <c r="A159" s="61" t="s">
        <v>606</v>
      </c>
      <c r="C159" s="85"/>
      <c r="D159" s="85"/>
      <c r="E159" s="85"/>
      <c r="F159" s="85"/>
      <c r="G159" s="85"/>
      <c r="H159" s="85"/>
      <c r="I159" s="85"/>
      <c r="J159" s="85"/>
      <c r="K159" s="85"/>
      <c r="L159" s="85"/>
      <c r="M159" s="85"/>
    </row>
    <row r="160" spans="1:14" ht="18" customHeight="1" x14ac:dyDescent="0.3">
      <c r="A160" s="61" t="s">
        <v>607</v>
      </c>
      <c r="C160" s="93"/>
      <c r="D160" s="86"/>
      <c r="E160" s="93"/>
      <c r="F160" s="86"/>
      <c r="G160" s="93"/>
      <c r="H160" s="86"/>
      <c r="I160" s="93"/>
      <c r="J160" s="86"/>
      <c r="K160" s="93"/>
      <c r="L160" s="86"/>
      <c r="M160" s="93">
        <f t="shared" ref="M160:M165" si="6">+C160+E160-G160</f>
        <v>0</v>
      </c>
    </row>
    <row r="161" spans="1:14" ht="18" customHeight="1" x14ac:dyDescent="0.3">
      <c r="A161" s="61" t="s">
        <v>608</v>
      </c>
      <c r="C161" s="93"/>
      <c r="D161" s="86"/>
      <c r="E161" s="93"/>
      <c r="F161" s="86"/>
      <c r="G161" s="93"/>
      <c r="H161" s="86"/>
      <c r="I161" s="93"/>
      <c r="J161" s="86"/>
      <c r="K161" s="93"/>
      <c r="L161" s="86"/>
      <c r="M161" s="93">
        <f t="shared" si="6"/>
        <v>0</v>
      </c>
    </row>
    <row r="162" spans="1:14" ht="18" customHeight="1" x14ac:dyDescent="0.3">
      <c r="A162" s="61" t="s">
        <v>609</v>
      </c>
      <c r="C162" s="93"/>
      <c r="D162" s="86"/>
      <c r="E162" s="93"/>
      <c r="F162" s="86"/>
      <c r="G162" s="93"/>
      <c r="H162" s="86"/>
      <c r="I162" s="93"/>
      <c r="J162" s="86"/>
      <c r="K162" s="93"/>
      <c r="L162" s="86"/>
      <c r="M162" s="93">
        <f t="shared" si="6"/>
        <v>0</v>
      </c>
    </row>
    <row r="163" spans="1:14" ht="18" customHeight="1" x14ac:dyDescent="0.3">
      <c r="A163" s="61" t="s">
        <v>610</v>
      </c>
      <c r="C163" s="93"/>
      <c r="D163" s="86"/>
      <c r="E163" s="93"/>
      <c r="F163" s="86"/>
      <c r="G163" s="93"/>
      <c r="H163" s="86"/>
      <c r="I163" s="93"/>
      <c r="J163" s="86"/>
      <c r="K163" s="93"/>
      <c r="L163" s="86"/>
      <c r="M163" s="93">
        <f t="shared" si="6"/>
        <v>0</v>
      </c>
    </row>
    <row r="164" spans="1:14" ht="18" customHeight="1" x14ac:dyDescent="0.3">
      <c r="A164" s="61" t="s">
        <v>611</v>
      </c>
      <c r="C164" s="93"/>
      <c r="D164" s="86"/>
      <c r="E164" s="93"/>
      <c r="F164" s="86"/>
      <c r="G164" s="93"/>
      <c r="H164" s="86"/>
      <c r="I164" s="93"/>
      <c r="J164" s="86"/>
      <c r="K164" s="93"/>
      <c r="L164" s="86"/>
      <c r="M164" s="93">
        <f t="shared" si="6"/>
        <v>0</v>
      </c>
    </row>
    <row r="165" spans="1:14" ht="18" customHeight="1" x14ac:dyDescent="0.3">
      <c r="A165" s="61" t="s">
        <v>612</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613</v>
      </c>
      <c r="C167" s="86"/>
      <c r="D167" s="86"/>
      <c r="E167" s="86"/>
      <c r="F167" s="86"/>
      <c r="G167" s="86"/>
      <c r="H167" s="86"/>
      <c r="I167" s="86"/>
      <c r="J167" s="86"/>
      <c r="K167" s="86"/>
      <c r="L167" s="86"/>
      <c r="M167" s="86"/>
    </row>
    <row r="168" spans="1:14" ht="18" customHeight="1" x14ac:dyDescent="0.3">
      <c r="A168" s="61" t="s">
        <v>614</v>
      </c>
      <c r="C168" s="93"/>
      <c r="D168" s="86"/>
      <c r="E168" s="93"/>
      <c r="F168" s="86"/>
      <c r="G168" s="93"/>
      <c r="H168" s="86"/>
      <c r="I168" s="93"/>
      <c r="J168" s="86"/>
      <c r="K168" s="93"/>
      <c r="L168" s="86"/>
      <c r="M168" s="93">
        <f>+C168+E168-G168</f>
        <v>0</v>
      </c>
    </row>
    <row r="169" spans="1:14" ht="18" customHeight="1" x14ac:dyDescent="0.3">
      <c r="A169" s="61" t="s">
        <v>615</v>
      </c>
      <c r="C169" s="93"/>
      <c r="D169" s="86"/>
      <c r="E169" s="93"/>
      <c r="F169" s="86"/>
      <c r="G169" s="93"/>
      <c r="H169" s="86"/>
      <c r="I169" s="93"/>
      <c r="J169" s="86"/>
      <c r="K169" s="93"/>
      <c r="L169" s="86"/>
      <c r="M169" s="93">
        <f>+C169+E169-G169</f>
        <v>0</v>
      </c>
    </row>
    <row r="170" spans="1:14" ht="18" customHeight="1" x14ac:dyDescent="0.3">
      <c r="A170" s="61" t="s">
        <v>616</v>
      </c>
      <c r="C170" s="93"/>
      <c r="D170" s="86"/>
      <c r="E170" s="93"/>
      <c r="F170" s="86"/>
      <c r="G170" s="93"/>
      <c r="H170" s="86"/>
      <c r="I170" s="93"/>
      <c r="J170" s="86"/>
      <c r="K170" s="93"/>
      <c r="L170" s="86"/>
      <c r="M170" s="93">
        <f>+C170+E170-G170</f>
        <v>0</v>
      </c>
    </row>
    <row r="171" spans="1:14" ht="18" customHeight="1" x14ac:dyDescent="0.3">
      <c r="A171" s="61" t="s">
        <v>617</v>
      </c>
      <c r="C171" s="93"/>
      <c r="D171" s="86"/>
      <c r="E171" s="93"/>
      <c r="F171" s="86"/>
      <c r="G171" s="93"/>
      <c r="H171" s="86"/>
      <c r="I171" s="93"/>
      <c r="J171" s="86"/>
      <c r="K171" s="93"/>
      <c r="L171" s="86"/>
      <c r="M171" s="93">
        <f>+C171+E171-G171</f>
        <v>0</v>
      </c>
    </row>
    <row r="172" spans="1:14" ht="18" customHeight="1" x14ac:dyDescent="0.3">
      <c r="A172" s="61" t="s">
        <v>618</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619</v>
      </c>
      <c r="C174" s="89">
        <f>SUM(C160:C172)</f>
        <v>0</v>
      </c>
      <c r="D174" s="86"/>
      <c r="E174" s="89">
        <f>SUM(E160:E172)</f>
        <v>0</v>
      </c>
      <c r="F174" s="86"/>
      <c r="G174" s="89">
        <f>SUM(G160:G172)</f>
        <v>0</v>
      </c>
      <c r="H174" s="86"/>
      <c r="I174" s="89"/>
      <c r="J174" s="86"/>
      <c r="K174" s="89"/>
      <c r="L174" s="86"/>
      <c r="M174" s="89">
        <f>SUM(M160:M172)</f>
        <v>0</v>
      </c>
      <c r="N174" s="167" t="s">
        <v>330</v>
      </c>
    </row>
    <row r="175" spans="1:14" ht="18" customHeight="1" x14ac:dyDescent="0.3">
      <c r="C175" s="86"/>
      <c r="D175" s="86"/>
      <c r="E175" s="86"/>
      <c r="F175" s="86"/>
      <c r="G175" s="86"/>
      <c r="H175" s="86"/>
      <c r="I175" s="86"/>
      <c r="J175" s="86"/>
      <c r="K175" s="86"/>
      <c r="L175" s="86"/>
      <c r="M175" s="86"/>
    </row>
    <row r="176" spans="1:14" ht="18" customHeight="1" x14ac:dyDescent="0.3">
      <c r="A176" s="61" t="s">
        <v>620</v>
      </c>
      <c r="C176" s="86"/>
      <c r="D176" s="86"/>
      <c r="E176" s="86"/>
      <c r="F176" s="86"/>
      <c r="G176" s="86"/>
      <c r="H176" s="86"/>
      <c r="I176" s="86"/>
      <c r="J176" s="86"/>
      <c r="K176" s="86"/>
      <c r="L176" s="86"/>
      <c r="M176" s="86"/>
    </row>
    <row r="177" spans="1:14" ht="18" customHeight="1" x14ac:dyDescent="0.3">
      <c r="A177" s="61" t="s">
        <v>621</v>
      </c>
      <c r="C177" s="86"/>
      <c r="D177" s="86"/>
      <c r="E177" s="86"/>
      <c r="F177" s="86"/>
      <c r="G177" s="86"/>
      <c r="H177" s="86"/>
      <c r="I177" s="86"/>
      <c r="J177" s="86"/>
      <c r="K177" s="86"/>
      <c r="L177" s="86"/>
      <c r="M177" s="86"/>
    </row>
    <row r="178" spans="1:14" ht="18" customHeight="1" x14ac:dyDescent="0.3">
      <c r="A178" s="61" t="s">
        <v>622</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623</v>
      </c>
      <c r="C180" s="86"/>
      <c r="D180" s="86"/>
      <c r="E180" s="85"/>
      <c r="F180" s="85"/>
      <c r="G180" s="85"/>
      <c r="H180" s="86"/>
      <c r="I180" s="86"/>
      <c r="J180" s="86"/>
      <c r="K180" s="86"/>
      <c r="L180" s="86"/>
      <c r="M180" s="86"/>
    </row>
    <row r="181" spans="1:14" ht="18" customHeight="1" x14ac:dyDescent="0.3">
      <c r="A181" s="61" t="s">
        <v>624</v>
      </c>
      <c r="C181" s="93"/>
      <c r="D181" s="86"/>
      <c r="E181" s="93"/>
      <c r="F181" s="86"/>
      <c r="G181" s="93"/>
      <c r="H181" s="86"/>
      <c r="I181" s="93"/>
      <c r="J181" s="86"/>
      <c r="K181" s="93"/>
      <c r="L181" s="86"/>
      <c r="M181" s="93">
        <f>+C181+E181-G181</f>
        <v>0</v>
      </c>
    </row>
    <row r="182" spans="1:14" ht="18" customHeight="1" x14ac:dyDescent="0.3">
      <c r="A182" s="61" t="s">
        <v>625</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626</v>
      </c>
      <c r="C184" s="86"/>
      <c r="D184" s="86"/>
      <c r="E184" s="86"/>
      <c r="F184" s="86"/>
      <c r="G184" s="86"/>
      <c r="H184" s="86"/>
      <c r="I184" s="86"/>
      <c r="J184" s="86"/>
      <c r="K184" s="86"/>
      <c r="L184" s="86"/>
      <c r="M184" s="86"/>
    </row>
    <row r="185" spans="1:14" ht="18" customHeight="1" x14ac:dyDescent="0.3">
      <c r="A185" s="61" t="s">
        <v>627</v>
      </c>
      <c r="C185" s="93"/>
      <c r="D185" s="86"/>
      <c r="E185" s="93"/>
      <c r="F185" s="86"/>
      <c r="G185" s="93"/>
      <c r="H185" s="86"/>
      <c r="I185" s="93"/>
      <c r="J185" s="86"/>
      <c r="K185" s="93"/>
      <c r="L185" s="86"/>
      <c r="M185" s="93">
        <f>+C185+E185-G185</f>
        <v>0</v>
      </c>
    </row>
    <row r="186" spans="1:14" ht="18" customHeight="1" x14ac:dyDescent="0.3">
      <c r="A186" s="61" t="s">
        <v>628</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629</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630</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631</v>
      </c>
      <c r="C192" s="89">
        <f>SUM(C178:C190)</f>
        <v>0</v>
      </c>
      <c r="D192" s="86"/>
      <c r="E192" s="89">
        <f>SUM(E178:E190)</f>
        <v>0</v>
      </c>
      <c r="F192" s="86"/>
      <c r="G192" s="89">
        <f>SUM(G178:G190)</f>
        <v>0</v>
      </c>
      <c r="H192" s="86"/>
      <c r="I192" s="89"/>
      <c r="J192" s="86"/>
      <c r="K192" s="89"/>
      <c r="L192" s="86"/>
      <c r="M192" s="89">
        <f>SUM(M178:M190)</f>
        <v>0</v>
      </c>
      <c r="N192" s="167" t="s">
        <v>331</v>
      </c>
    </row>
    <row r="193" spans="1:13" ht="18" customHeight="1" x14ac:dyDescent="0.3">
      <c r="C193" s="86"/>
      <c r="D193" s="86"/>
      <c r="E193" s="86"/>
      <c r="F193" s="86"/>
      <c r="G193" s="86"/>
      <c r="H193" s="86"/>
      <c r="I193" s="86"/>
      <c r="J193" s="86"/>
      <c r="K193" s="86"/>
      <c r="L193" s="86"/>
      <c r="M193" s="86"/>
    </row>
    <row r="194" spans="1:13" ht="18" customHeight="1" x14ac:dyDescent="0.3">
      <c r="A194" s="61" t="s">
        <v>632</v>
      </c>
      <c r="C194" s="86"/>
      <c r="D194" s="86"/>
      <c r="E194" s="86"/>
      <c r="F194" s="86"/>
      <c r="G194" s="86"/>
      <c r="H194" s="86"/>
      <c r="I194" s="86"/>
      <c r="J194" s="86"/>
      <c r="K194" s="86"/>
      <c r="L194" s="86"/>
      <c r="M194" s="86"/>
    </row>
    <row r="195" spans="1:13" ht="18" customHeight="1" x14ac:dyDescent="0.3">
      <c r="A195" s="61" t="s">
        <v>633</v>
      </c>
      <c r="C195" s="86"/>
      <c r="D195" s="86"/>
      <c r="E195" s="86"/>
      <c r="F195" s="86"/>
      <c r="G195" s="86"/>
      <c r="H195" s="86"/>
      <c r="I195" s="86"/>
      <c r="J195" s="86"/>
      <c r="K195" s="86"/>
      <c r="L195" s="86"/>
      <c r="M195" s="86"/>
    </row>
    <row r="196" spans="1:13" ht="18" customHeight="1" x14ac:dyDescent="0.3">
      <c r="A196" s="61" t="s">
        <v>634</v>
      </c>
      <c r="C196" s="93"/>
      <c r="D196" s="86"/>
      <c r="E196" s="93"/>
      <c r="F196" s="86"/>
      <c r="G196" s="93"/>
      <c r="H196" s="86"/>
      <c r="I196" s="93"/>
      <c r="J196" s="86"/>
      <c r="K196" s="93"/>
      <c r="L196" s="86"/>
      <c r="M196" s="93">
        <f>+C196+E196-G196</f>
        <v>0</v>
      </c>
    </row>
    <row r="197" spans="1:13" ht="18" customHeight="1" x14ac:dyDescent="0.3">
      <c r="A197" s="61" t="s">
        <v>635</v>
      </c>
      <c r="C197" s="93"/>
      <c r="D197" s="86"/>
      <c r="E197" s="93"/>
      <c r="F197" s="86"/>
      <c r="G197" s="93"/>
      <c r="H197" s="86"/>
      <c r="I197" s="93"/>
      <c r="J197" s="86"/>
      <c r="K197" s="93"/>
      <c r="L197" s="86"/>
      <c r="M197" s="93">
        <f>+C197+E197-G197</f>
        <v>0</v>
      </c>
    </row>
    <row r="198" spans="1:13" ht="18" customHeight="1" x14ac:dyDescent="0.3">
      <c r="A198" s="61" t="s">
        <v>636</v>
      </c>
      <c r="C198" s="93"/>
      <c r="D198" s="86"/>
      <c r="E198" s="93"/>
      <c r="F198" s="86"/>
      <c r="G198" s="93"/>
      <c r="H198" s="86"/>
      <c r="I198" s="93"/>
      <c r="J198" s="86"/>
      <c r="K198" s="93"/>
      <c r="L198" s="86"/>
      <c r="M198" s="93">
        <f>+C198+E198-G198</f>
        <v>0</v>
      </c>
    </row>
    <row r="199" spans="1:13" ht="18" customHeight="1" x14ac:dyDescent="0.3">
      <c r="A199" s="61" t="s">
        <v>637</v>
      </c>
      <c r="C199" s="93"/>
      <c r="D199" s="86"/>
      <c r="E199" s="93"/>
      <c r="F199" s="86"/>
      <c r="G199" s="93"/>
      <c r="H199" s="86"/>
      <c r="I199" s="93"/>
      <c r="J199" s="86"/>
      <c r="K199" s="93"/>
      <c r="L199" s="86"/>
      <c r="M199" s="93">
        <f>+C199+E199-G199</f>
        <v>0</v>
      </c>
    </row>
    <row r="200" spans="1:13" ht="18" customHeight="1" x14ac:dyDescent="0.3">
      <c r="A200" s="61" t="s">
        <v>638</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639</v>
      </c>
      <c r="C202" s="86"/>
      <c r="D202" s="86"/>
      <c r="E202" s="86"/>
      <c r="F202" s="86"/>
      <c r="G202" s="86"/>
      <c r="H202" s="86"/>
      <c r="I202" s="86"/>
      <c r="J202" s="86"/>
      <c r="K202" s="86"/>
      <c r="L202" s="86"/>
      <c r="M202" s="86"/>
    </row>
    <row r="203" spans="1:13" ht="18" customHeight="1" x14ac:dyDescent="0.3">
      <c r="A203" s="61" t="s">
        <v>640</v>
      </c>
      <c r="C203" s="93"/>
      <c r="D203" s="86"/>
      <c r="E203" s="93"/>
      <c r="F203" s="86"/>
      <c r="G203" s="93"/>
      <c r="H203" s="86"/>
      <c r="I203" s="93"/>
      <c r="J203" s="86"/>
      <c r="K203" s="93"/>
      <c r="L203" s="86"/>
      <c r="M203" s="93">
        <f t="shared" ref="M203:M209" si="7">+C203+E203-G203</f>
        <v>0</v>
      </c>
    </row>
    <row r="204" spans="1:13" ht="18" customHeight="1" x14ac:dyDescent="0.3">
      <c r="A204" s="61" t="s">
        <v>641</v>
      </c>
      <c r="C204" s="93"/>
      <c r="D204" s="86"/>
      <c r="E204" s="93"/>
      <c r="F204" s="86"/>
      <c r="G204" s="93"/>
      <c r="H204" s="86"/>
      <c r="I204" s="93"/>
      <c r="J204" s="86"/>
      <c r="K204" s="93"/>
      <c r="L204" s="86"/>
      <c r="M204" s="93">
        <f t="shared" si="7"/>
        <v>0</v>
      </c>
    </row>
    <row r="205" spans="1:13" ht="18" customHeight="1" x14ac:dyDescent="0.3">
      <c r="A205" s="61" t="s">
        <v>642</v>
      </c>
      <c r="C205" s="93"/>
      <c r="D205" s="86"/>
      <c r="E205" s="93"/>
      <c r="F205" s="86"/>
      <c r="G205" s="93"/>
      <c r="H205" s="86"/>
      <c r="I205" s="93"/>
      <c r="J205" s="86"/>
      <c r="K205" s="93"/>
      <c r="L205" s="86"/>
      <c r="M205" s="93">
        <f t="shared" si="7"/>
        <v>0</v>
      </c>
    </row>
    <row r="206" spans="1:13" ht="18" customHeight="1" x14ac:dyDescent="0.3">
      <c r="A206" s="61" t="s">
        <v>643</v>
      </c>
      <c r="C206" s="93"/>
      <c r="D206" s="86"/>
      <c r="E206" s="93"/>
      <c r="F206" s="86"/>
      <c r="G206" s="93"/>
      <c r="H206" s="86"/>
      <c r="I206" s="93"/>
      <c r="J206" s="86"/>
      <c r="K206" s="93"/>
      <c r="L206" s="86"/>
      <c r="M206" s="93">
        <f t="shared" si="7"/>
        <v>0</v>
      </c>
    </row>
    <row r="207" spans="1:13" ht="18" customHeight="1" x14ac:dyDescent="0.3">
      <c r="A207" s="61" t="s">
        <v>644</v>
      </c>
      <c r="C207" s="93"/>
      <c r="D207" s="86"/>
      <c r="E207" s="93"/>
      <c r="F207" s="86"/>
      <c r="G207" s="93"/>
      <c r="H207" s="86"/>
      <c r="I207" s="93"/>
      <c r="J207" s="86"/>
      <c r="K207" s="93"/>
      <c r="L207" s="86"/>
      <c r="M207" s="93">
        <f t="shared" si="7"/>
        <v>0</v>
      </c>
    </row>
    <row r="208" spans="1:13" ht="18" customHeight="1" x14ac:dyDescent="0.3">
      <c r="A208" s="61" t="s">
        <v>645</v>
      </c>
      <c r="C208" s="93"/>
      <c r="D208" s="86"/>
      <c r="E208" s="93"/>
      <c r="F208" s="86"/>
      <c r="G208" s="93"/>
      <c r="H208" s="86"/>
      <c r="I208" s="93"/>
      <c r="J208" s="86"/>
      <c r="K208" s="93"/>
      <c r="L208" s="86"/>
      <c r="M208" s="93">
        <f t="shared" si="7"/>
        <v>0</v>
      </c>
    </row>
    <row r="209" spans="1:13" ht="18" customHeight="1" x14ac:dyDescent="0.3">
      <c r="A209" s="61" t="s">
        <v>646</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647</v>
      </c>
      <c r="C211" s="86"/>
      <c r="D211" s="86"/>
      <c r="E211" s="86"/>
      <c r="F211" s="86"/>
      <c r="G211" s="86"/>
      <c r="H211" s="86"/>
      <c r="I211" s="86"/>
      <c r="J211" s="86"/>
      <c r="K211" s="86"/>
      <c r="L211" s="86"/>
      <c r="M211" s="86"/>
    </row>
    <row r="212" spans="1:13" ht="18" customHeight="1" x14ac:dyDescent="0.3">
      <c r="A212" s="61" t="s">
        <v>648</v>
      </c>
      <c r="C212" s="93"/>
      <c r="D212" s="86"/>
      <c r="E212" s="93"/>
      <c r="F212" s="86"/>
      <c r="G212" s="93"/>
      <c r="H212" s="86"/>
      <c r="I212" s="93"/>
      <c r="J212" s="86"/>
      <c r="K212" s="93"/>
      <c r="L212" s="86"/>
      <c r="M212" s="93">
        <f>+C212+E212-G212</f>
        <v>0</v>
      </c>
    </row>
    <row r="213" spans="1:13" ht="18" customHeight="1" x14ac:dyDescent="0.3">
      <c r="A213" s="61" t="s">
        <v>649</v>
      </c>
      <c r="C213" s="93"/>
      <c r="D213" s="86"/>
      <c r="E213" s="93"/>
      <c r="F213" s="86"/>
      <c r="G213" s="93"/>
      <c r="H213" s="86"/>
      <c r="I213" s="93"/>
      <c r="J213" s="86"/>
      <c r="K213" s="93"/>
      <c r="L213" s="86"/>
      <c r="M213" s="93">
        <f>+C213+E213-G213</f>
        <v>0</v>
      </c>
    </row>
    <row r="214" spans="1:13" ht="18" customHeight="1" x14ac:dyDescent="0.3">
      <c r="A214" s="61" t="s">
        <v>650</v>
      </c>
      <c r="C214" s="93"/>
      <c r="D214" s="86"/>
      <c r="E214" s="93"/>
      <c r="F214" s="86"/>
      <c r="G214" s="93"/>
      <c r="H214" s="86"/>
      <c r="I214" s="93"/>
      <c r="J214" s="86"/>
      <c r="K214" s="93"/>
      <c r="L214" s="86"/>
      <c r="M214" s="93">
        <f>+C214+E214-G214</f>
        <v>0</v>
      </c>
    </row>
    <row r="215" spans="1:13" ht="18" customHeight="1" x14ac:dyDescent="0.3">
      <c r="A215" s="61" t="s">
        <v>651</v>
      </c>
      <c r="C215" s="93"/>
      <c r="D215" s="86"/>
      <c r="E215" s="93"/>
      <c r="F215" s="86"/>
      <c r="G215" s="93"/>
      <c r="H215" s="86"/>
      <c r="I215" s="93"/>
      <c r="J215" s="86"/>
      <c r="K215" s="93"/>
      <c r="L215" s="86"/>
      <c r="M215" s="93">
        <f>+C215+E215-G215</f>
        <v>0</v>
      </c>
    </row>
    <row r="216" spans="1:13" ht="18" customHeight="1" x14ac:dyDescent="0.3">
      <c r="A216" s="61" t="s">
        <v>652</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653</v>
      </c>
      <c r="C218" s="86"/>
      <c r="D218" s="86"/>
      <c r="E218" s="86"/>
      <c r="F218" s="86"/>
      <c r="G218" s="86"/>
      <c r="H218" s="86"/>
      <c r="I218" s="86"/>
      <c r="J218" s="86"/>
      <c r="K218" s="86"/>
      <c r="L218" s="86"/>
      <c r="M218" s="86"/>
    </row>
    <row r="219" spans="1:13" ht="18" customHeight="1" x14ac:dyDescent="0.3">
      <c r="A219" s="61" t="s">
        <v>654</v>
      </c>
      <c r="C219" s="93"/>
      <c r="D219" s="86"/>
      <c r="E219" s="93"/>
      <c r="F219" s="86"/>
      <c r="G219" s="93"/>
      <c r="H219" s="86"/>
      <c r="I219" s="93"/>
      <c r="J219" s="86"/>
      <c r="K219" s="93"/>
      <c r="L219" s="86"/>
      <c r="M219" s="93">
        <f t="shared" ref="M219:M224" si="8">+C219+E219-G219</f>
        <v>0</v>
      </c>
    </row>
    <row r="220" spans="1:13" ht="18" customHeight="1" x14ac:dyDescent="0.3">
      <c r="A220" s="61" t="s">
        <v>655</v>
      </c>
      <c r="C220" s="93"/>
      <c r="D220" s="86"/>
      <c r="E220" s="93"/>
      <c r="F220" s="86"/>
      <c r="G220" s="93"/>
      <c r="H220" s="86"/>
      <c r="I220" s="93"/>
      <c r="J220" s="86"/>
      <c r="K220" s="93"/>
      <c r="L220" s="86"/>
      <c r="M220" s="93">
        <f t="shared" si="8"/>
        <v>0</v>
      </c>
    </row>
    <row r="221" spans="1:13" ht="18" customHeight="1" x14ac:dyDescent="0.3">
      <c r="A221" s="61" t="s">
        <v>656</v>
      </c>
      <c r="C221" s="93"/>
      <c r="D221" s="86"/>
      <c r="E221" s="93"/>
      <c r="F221" s="86"/>
      <c r="G221" s="93"/>
      <c r="H221" s="86"/>
      <c r="I221" s="93"/>
      <c r="J221" s="86"/>
      <c r="K221" s="93"/>
      <c r="L221" s="86"/>
      <c r="M221" s="93">
        <f t="shared" si="8"/>
        <v>0</v>
      </c>
    </row>
    <row r="222" spans="1:13" ht="18" customHeight="1" x14ac:dyDescent="0.3">
      <c r="A222" s="61" t="s">
        <v>657</v>
      </c>
      <c r="C222" s="93"/>
      <c r="D222" s="86"/>
      <c r="E222" s="93"/>
      <c r="F222" s="86"/>
      <c r="G222" s="93"/>
      <c r="H222" s="86"/>
      <c r="I222" s="93"/>
      <c r="J222" s="86"/>
      <c r="K222" s="93"/>
      <c r="L222" s="86"/>
      <c r="M222" s="93">
        <f t="shared" si="8"/>
        <v>0</v>
      </c>
    </row>
    <row r="223" spans="1:13" ht="18" customHeight="1" x14ac:dyDescent="0.3">
      <c r="A223" s="61" t="s">
        <v>658</v>
      </c>
      <c r="C223" s="93"/>
      <c r="D223" s="86"/>
      <c r="E223" s="93"/>
      <c r="F223" s="86"/>
      <c r="G223" s="93"/>
      <c r="H223" s="86"/>
      <c r="I223" s="93"/>
      <c r="J223" s="86"/>
      <c r="K223" s="93"/>
      <c r="L223" s="86"/>
      <c r="M223" s="93">
        <f t="shared" si="8"/>
        <v>0</v>
      </c>
    </row>
    <row r="224" spans="1:13" ht="18" customHeight="1" x14ac:dyDescent="0.3">
      <c r="A224" s="61" t="s">
        <v>659</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660</v>
      </c>
      <c r="C226" s="89">
        <f>SUM(C196:C224)</f>
        <v>0</v>
      </c>
      <c r="D226" s="86"/>
      <c r="E226" s="89">
        <f>SUM(E196:E224)</f>
        <v>0</v>
      </c>
      <c r="F226" s="86"/>
      <c r="G226" s="89">
        <f>SUM(G196:G224)</f>
        <v>0</v>
      </c>
      <c r="H226" s="86"/>
      <c r="I226" s="89"/>
      <c r="J226" s="86"/>
      <c r="K226" s="89"/>
      <c r="L226" s="86"/>
      <c r="M226" s="89">
        <f>SUM(M196:M224)</f>
        <v>0</v>
      </c>
      <c r="N226" s="167" t="s">
        <v>332</v>
      </c>
    </row>
    <row r="227" spans="1:14" ht="18" customHeight="1" x14ac:dyDescent="0.3">
      <c r="C227" s="86"/>
      <c r="D227" s="86"/>
      <c r="E227" s="86"/>
      <c r="F227" s="86"/>
      <c r="G227" s="86"/>
      <c r="H227" s="86"/>
      <c r="I227" s="86"/>
      <c r="J227" s="86"/>
      <c r="K227" s="86"/>
      <c r="L227" s="86"/>
      <c r="M227" s="86"/>
    </row>
    <row r="228" spans="1:14" ht="18" customHeight="1" x14ac:dyDescent="0.3">
      <c r="A228" s="61" t="s">
        <v>661</v>
      </c>
      <c r="C228" s="86"/>
      <c r="D228" s="86"/>
      <c r="E228" s="86"/>
      <c r="F228" s="86"/>
      <c r="G228" s="86"/>
      <c r="H228" s="86"/>
      <c r="I228" s="86"/>
      <c r="J228" s="86"/>
      <c r="K228" s="86"/>
      <c r="L228" s="86"/>
      <c r="M228" s="86"/>
    </row>
    <row r="229" spans="1:14" ht="18" customHeight="1" x14ac:dyDescent="0.3">
      <c r="A229" s="61" t="s">
        <v>662</v>
      </c>
      <c r="C229" s="86"/>
      <c r="D229" s="86"/>
      <c r="E229" s="86"/>
      <c r="F229" s="86"/>
      <c r="G229" s="86"/>
      <c r="H229" s="86"/>
      <c r="I229" s="86"/>
      <c r="J229" s="86"/>
      <c r="K229" s="86"/>
      <c r="L229" s="86"/>
      <c r="M229" s="86"/>
    </row>
    <row r="230" spans="1:14" ht="18" customHeight="1" x14ac:dyDescent="0.3">
      <c r="A230" s="61" t="s">
        <v>663</v>
      </c>
      <c r="C230" s="93"/>
      <c r="D230" s="86"/>
      <c r="E230" s="93"/>
      <c r="F230" s="86"/>
      <c r="G230" s="93"/>
      <c r="H230" s="86"/>
      <c r="I230" s="93"/>
      <c r="J230" s="86"/>
      <c r="K230" s="93"/>
      <c r="L230" s="86"/>
      <c r="M230" s="93">
        <f t="shared" ref="M230:M236" si="9">+C230+E230-G230</f>
        <v>0</v>
      </c>
    </row>
    <row r="231" spans="1:14" ht="18" customHeight="1" x14ac:dyDescent="0.3">
      <c r="A231" s="61" t="s">
        <v>664</v>
      </c>
      <c r="C231" s="93"/>
      <c r="D231" s="86"/>
      <c r="E231" s="93"/>
      <c r="F231" s="86"/>
      <c r="G231" s="93"/>
      <c r="H231" s="86"/>
      <c r="I231" s="93"/>
      <c r="J231" s="86"/>
      <c r="K231" s="93"/>
      <c r="L231" s="86"/>
      <c r="M231" s="93">
        <f t="shared" si="9"/>
        <v>0</v>
      </c>
    </row>
    <row r="232" spans="1:14" ht="18" customHeight="1" x14ac:dyDescent="0.3">
      <c r="A232" s="61" t="s">
        <v>665</v>
      </c>
      <c r="C232" s="93"/>
      <c r="D232" s="86"/>
      <c r="E232" s="93"/>
      <c r="F232" s="86"/>
      <c r="G232" s="93"/>
      <c r="H232" s="86"/>
      <c r="I232" s="93"/>
      <c r="J232" s="86"/>
      <c r="K232" s="93"/>
      <c r="L232" s="86"/>
      <c r="M232" s="93">
        <f t="shared" si="9"/>
        <v>0</v>
      </c>
    </row>
    <row r="233" spans="1:14" ht="18" customHeight="1" x14ac:dyDescent="0.3">
      <c r="A233" s="61" t="s">
        <v>666</v>
      </c>
      <c r="C233" s="93"/>
      <c r="D233" s="86"/>
      <c r="E233" s="93"/>
      <c r="F233" s="86"/>
      <c r="G233" s="93"/>
      <c r="H233" s="86"/>
      <c r="I233" s="93"/>
      <c r="J233" s="86"/>
      <c r="K233" s="93"/>
      <c r="L233" s="86"/>
      <c r="M233" s="93">
        <f t="shared" si="9"/>
        <v>0</v>
      </c>
    </row>
    <row r="234" spans="1:14" ht="18" customHeight="1" x14ac:dyDescent="0.3">
      <c r="A234" s="61" t="s">
        <v>667</v>
      </c>
      <c r="C234" s="93"/>
      <c r="D234" s="86"/>
      <c r="E234" s="93"/>
      <c r="F234" s="86"/>
      <c r="G234" s="93"/>
      <c r="H234" s="86"/>
      <c r="I234" s="93"/>
      <c r="J234" s="86"/>
      <c r="K234" s="93"/>
      <c r="L234" s="86"/>
      <c r="M234" s="93">
        <f t="shared" si="9"/>
        <v>0</v>
      </c>
    </row>
    <row r="235" spans="1:14" s="324" customFormat="1" ht="18" customHeight="1" x14ac:dyDescent="0.3">
      <c r="A235" s="324" t="s">
        <v>849</v>
      </c>
      <c r="C235" s="93"/>
      <c r="D235" s="86"/>
      <c r="E235" s="93"/>
      <c r="F235" s="86"/>
      <c r="G235" s="93"/>
      <c r="H235" s="86"/>
      <c r="I235" s="93"/>
      <c r="J235" s="86"/>
      <c r="K235" s="93"/>
      <c r="L235" s="86"/>
      <c r="M235" s="93">
        <f t="shared" ref="M235" si="10">+C235+E235-G235</f>
        <v>0</v>
      </c>
      <c r="N235" s="167"/>
    </row>
    <row r="236" spans="1:14" ht="18" customHeight="1" x14ac:dyDescent="0.3">
      <c r="A236" s="61" t="s">
        <v>668</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669</v>
      </c>
      <c r="C238" s="86"/>
      <c r="D238" s="86"/>
      <c r="E238" s="86"/>
      <c r="F238" s="86"/>
      <c r="G238" s="86"/>
      <c r="H238" s="86"/>
      <c r="I238" s="86"/>
      <c r="J238" s="86"/>
      <c r="K238" s="86"/>
      <c r="L238" s="86"/>
      <c r="M238" s="86"/>
    </row>
    <row r="239" spans="1:14" ht="18" customHeight="1" x14ac:dyDescent="0.3">
      <c r="A239" s="61" t="s">
        <v>670</v>
      </c>
      <c r="C239" s="93"/>
      <c r="D239" s="86"/>
      <c r="E239" s="93"/>
      <c r="F239" s="86"/>
      <c r="G239" s="93"/>
      <c r="H239" s="86"/>
      <c r="I239" s="93"/>
      <c r="J239" s="86"/>
      <c r="K239" s="93"/>
      <c r="L239" s="86"/>
      <c r="M239" s="93">
        <f t="shared" ref="M239:M244" si="11">+C239+E239-G239</f>
        <v>0</v>
      </c>
    </row>
    <row r="240" spans="1:14" ht="18" customHeight="1" x14ac:dyDescent="0.3">
      <c r="A240" s="61" t="s">
        <v>671</v>
      </c>
      <c r="C240" s="93"/>
      <c r="D240" s="86"/>
      <c r="E240" s="93"/>
      <c r="F240" s="86"/>
      <c r="G240" s="93"/>
      <c r="H240" s="86"/>
      <c r="I240" s="93"/>
      <c r="J240" s="86"/>
      <c r="K240" s="93"/>
      <c r="L240" s="86"/>
      <c r="M240" s="93">
        <f t="shared" si="11"/>
        <v>0</v>
      </c>
    </row>
    <row r="241" spans="1:14" ht="18" customHeight="1" x14ac:dyDescent="0.3">
      <c r="A241" s="61" t="s">
        <v>672</v>
      </c>
      <c r="C241" s="93"/>
      <c r="D241" s="86"/>
      <c r="E241" s="93"/>
      <c r="F241" s="86"/>
      <c r="G241" s="93"/>
      <c r="H241" s="86"/>
      <c r="I241" s="93"/>
      <c r="J241" s="86"/>
      <c r="K241" s="93"/>
      <c r="L241" s="86"/>
      <c r="M241" s="93">
        <f t="shared" si="11"/>
        <v>0</v>
      </c>
    </row>
    <row r="242" spans="1:14" ht="18" customHeight="1" x14ac:dyDescent="0.3">
      <c r="A242" s="61" t="s">
        <v>673</v>
      </c>
      <c r="C242" s="93"/>
      <c r="D242" s="86"/>
      <c r="E242" s="93"/>
      <c r="F242" s="86"/>
      <c r="G242" s="93"/>
      <c r="H242" s="86"/>
      <c r="I242" s="93"/>
      <c r="J242" s="86"/>
      <c r="K242" s="93"/>
      <c r="L242" s="86"/>
      <c r="M242" s="93">
        <f t="shared" si="11"/>
        <v>0</v>
      </c>
    </row>
    <row r="243" spans="1:14" ht="18" customHeight="1" x14ac:dyDescent="0.3">
      <c r="A243" s="61" t="s">
        <v>674</v>
      </c>
      <c r="C243" s="93"/>
      <c r="D243" s="86"/>
      <c r="E243" s="93"/>
      <c r="F243" s="86"/>
      <c r="G243" s="93"/>
      <c r="H243" s="86"/>
      <c r="I243" s="93"/>
      <c r="J243" s="86"/>
      <c r="K243" s="93"/>
      <c r="L243" s="86"/>
      <c r="M243" s="93">
        <f t="shared" si="11"/>
        <v>0</v>
      </c>
    </row>
    <row r="244" spans="1:14" ht="18" customHeight="1" x14ac:dyDescent="0.3">
      <c r="A244" s="61" t="s">
        <v>675</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676</v>
      </c>
      <c r="C246" s="89">
        <f>SUM(C230:C244)</f>
        <v>0</v>
      </c>
      <c r="D246" s="86"/>
      <c r="E246" s="89">
        <f>SUM(E230:E244)</f>
        <v>0</v>
      </c>
      <c r="F246" s="86"/>
      <c r="G246" s="89">
        <f>SUM(G230:G244)</f>
        <v>0</v>
      </c>
      <c r="H246" s="86"/>
      <c r="I246" s="89"/>
      <c r="J246" s="86"/>
      <c r="K246" s="89"/>
      <c r="L246" s="86"/>
      <c r="M246" s="89">
        <f>SUM(M230:M244)</f>
        <v>0</v>
      </c>
      <c r="N246" s="167" t="s">
        <v>333</v>
      </c>
    </row>
    <row r="247" spans="1:14" ht="18" customHeight="1" x14ac:dyDescent="0.3">
      <c r="C247" s="86"/>
      <c r="D247" s="86"/>
      <c r="E247" s="86"/>
      <c r="F247" s="86"/>
      <c r="G247" s="86"/>
      <c r="H247" s="86"/>
      <c r="I247" s="86"/>
      <c r="J247" s="86"/>
      <c r="K247" s="86"/>
      <c r="L247" s="86"/>
      <c r="M247" s="86"/>
    </row>
    <row r="248" spans="1:14" ht="18" customHeight="1" x14ac:dyDescent="0.3">
      <c r="A248" s="61" t="s">
        <v>677</v>
      </c>
      <c r="C248" s="86"/>
      <c r="D248" s="86"/>
      <c r="E248" s="86"/>
      <c r="F248" s="86"/>
      <c r="G248" s="86"/>
      <c r="H248" s="86"/>
      <c r="I248" s="86"/>
      <c r="J248" s="86"/>
      <c r="K248" s="86"/>
      <c r="L248" s="86"/>
      <c r="M248" s="86"/>
    </row>
    <row r="249" spans="1:14" ht="18" customHeight="1" x14ac:dyDescent="0.3">
      <c r="A249" s="61" t="s">
        <v>678</v>
      </c>
      <c r="C249" s="86"/>
      <c r="D249" s="86"/>
      <c r="E249" s="86"/>
      <c r="F249" s="86"/>
      <c r="G249" s="86"/>
      <c r="H249" s="86"/>
      <c r="I249" s="86"/>
      <c r="J249" s="86"/>
      <c r="K249" s="86"/>
      <c r="L249" s="86"/>
      <c r="M249" s="86"/>
    </row>
    <row r="250" spans="1:14" ht="18" customHeight="1" x14ac:dyDescent="0.3">
      <c r="A250" s="61" t="s">
        <v>679</v>
      </c>
      <c r="C250" s="93"/>
      <c r="D250" s="86"/>
      <c r="E250" s="93"/>
      <c r="F250" s="86"/>
      <c r="G250" s="93"/>
      <c r="H250" s="86"/>
      <c r="I250" s="93"/>
      <c r="J250" s="86"/>
      <c r="K250" s="93"/>
      <c r="L250" s="86"/>
      <c r="M250" s="93">
        <f t="shared" ref="M250:M256" si="12">+C250+E250-G250</f>
        <v>0</v>
      </c>
    </row>
    <row r="251" spans="1:14" ht="18" customHeight="1" x14ac:dyDescent="0.3">
      <c r="A251" s="61" t="s">
        <v>680</v>
      </c>
      <c r="C251" s="93"/>
      <c r="D251" s="86"/>
      <c r="E251" s="93"/>
      <c r="F251" s="86"/>
      <c r="G251" s="93"/>
      <c r="H251" s="86"/>
      <c r="I251" s="93"/>
      <c r="J251" s="86"/>
      <c r="K251" s="93"/>
      <c r="L251" s="86"/>
      <c r="M251" s="93">
        <f t="shared" si="12"/>
        <v>0</v>
      </c>
    </row>
    <row r="252" spans="1:14" ht="18" customHeight="1" x14ac:dyDescent="0.3">
      <c r="A252" s="61" t="s">
        <v>681</v>
      </c>
      <c r="C252" s="93"/>
      <c r="D252" s="86"/>
      <c r="E252" s="93"/>
      <c r="F252" s="86"/>
      <c r="G252" s="93"/>
      <c r="H252" s="86"/>
      <c r="I252" s="93"/>
      <c r="J252" s="86"/>
      <c r="K252" s="93"/>
      <c r="L252" s="86"/>
      <c r="M252" s="93">
        <f t="shared" si="12"/>
        <v>0</v>
      </c>
    </row>
    <row r="253" spans="1:14" ht="18" customHeight="1" x14ac:dyDescent="0.3">
      <c r="A253" s="61" t="s">
        <v>682</v>
      </c>
      <c r="C253" s="93"/>
      <c r="D253" s="86"/>
      <c r="E253" s="93"/>
      <c r="F253" s="86"/>
      <c r="G253" s="93"/>
      <c r="H253" s="86"/>
      <c r="I253" s="93"/>
      <c r="J253" s="86"/>
      <c r="K253" s="93"/>
      <c r="L253" s="86"/>
      <c r="M253" s="93">
        <f t="shared" si="12"/>
        <v>0</v>
      </c>
    </row>
    <row r="254" spans="1:14" ht="18" customHeight="1" x14ac:dyDescent="0.3">
      <c r="A254" s="61" t="s">
        <v>848</v>
      </c>
      <c r="C254" s="93"/>
      <c r="D254" s="86"/>
      <c r="E254" s="93"/>
      <c r="F254" s="86"/>
      <c r="G254" s="93"/>
      <c r="H254" s="86"/>
      <c r="I254" s="93"/>
      <c r="J254" s="86"/>
      <c r="K254" s="93"/>
      <c r="L254" s="86"/>
      <c r="M254" s="93">
        <f t="shared" si="12"/>
        <v>0</v>
      </c>
    </row>
    <row r="255" spans="1:14" ht="18" customHeight="1" x14ac:dyDescent="0.3">
      <c r="A255" s="61" t="s">
        <v>683</v>
      </c>
      <c r="C255" s="93"/>
      <c r="D255" s="86"/>
      <c r="E255" s="93"/>
      <c r="F255" s="86"/>
      <c r="G255" s="93"/>
      <c r="H255" s="86"/>
      <c r="I255" s="93"/>
      <c r="J255" s="86"/>
      <c r="K255" s="93"/>
      <c r="L255" s="86"/>
      <c r="M255" s="93">
        <f t="shared" si="12"/>
        <v>0</v>
      </c>
    </row>
    <row r="256" spans="1:14" ht="18" customHeight="1" x14ac:dyDescent="0.3">
      <c r="A256" s="61" t="s">
        <v>684</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685</v>
      </c>
      <c r="C258" s="86"/>
      <c r="D258" s="86"/>
      <c r="E258" s="86"/>
      <c r="F258" s="86"/>
      <c r="G258" s="86"/>
      <c r="H258" s="86"/>
      <c r="I258" s="86"/>
      <c r="J258" s="86"/>
      <c r="K258" s="86"/>
      <c r="L258" s="86"/>
      <c r="M258" s="86"/>
    </row>
    <row r="259" spans="1:14" ht="18" customHeight="1" x14ac:dyDescent="0.3">
      <c r="A259" s="61" t="s">
        <v>686</v>
      </c>
      <c r="C259" s="93"/>
      <c r="D259" s="86"/>
      <c r="E259" s="93"/>
      <c r="F259" s="86"/>
      <c r="G259" s="93"/>
      <c r="H259" s="86"/>
      <c r="I259" s="93"/>
      <c r="J259" s="86"/>
      <c r="K259" s="93"/>
      <c r="L259" s="86"/>
      <c r="M259" s="93">
        <f>+C259+E259-G259</f>
        <v>0</v>
      </c>
    </row>
    <row r="260" spans="1:14" ht="18" customHeight="1" x14ac:dyDescent="0.3">
      <c r="A260" s="61" t="s">
        <v>687</v>
      </c>
      <c r="C260" s="93"/>
      <c r="D260" s="86"/>
      <c r="E260" s="93"/>
      <c r="F260" s="86"/>
      <c r="G260" s="93"/>
      <c r="H260" s="86"/>
      <c r="I260" s="93"/>
      <c r="J260" s="86"/>
      <c r="K260" s="93"/>
      <c r="L260" s="86"/>
      <c r="M260" s="93">
        <f>+C260+E260-G260</f>
        <v>0</v>
      </c>
    </row>
    <row r="261" spans="1:14" ht="18" customHeight="1" x14ac:dyDescent="0.3">
      <c r="A261" s="61" t="s">
        <v>688</v>
      </c>
      <c r="C261" s="93"/>
      <c r="D261" s="86"/>
      <c r="E261" s="93"/>
      <c r="F261" s="86"/>
      <c r="G261" s="93"/>
      <c r="H261" s="86"/>
      <c r="I261" s="93"/>
      <c r="J261" s="86"/>
      <c r="K261" s="93"/>
      <c r="L261" s="86"/>
      <c r="M261" s="93">
        <f>+C261+E261-G261</f>
        <v>0</v>
      </c>
    </row>
    <row r="262" spans="1:14" ht="18" customHeight="1" x14ac:dyDescent="0.3">
      <c r="A262" s="61" t="s">
        <v>689</v>
      </c>
      <c r="C262" s="93"/>
      <c r="D262" s="86"/>
      <c r="E262" s="93"/>
      <c r="F262" s="86"/>
      <c r="G262" s="93"/>
      <c r="H262" s="86"/>
      <c r="I262" s="93"/>
      <c r="J262" s="86"/>
      <c r="K262" s="93"/>
      <c r="L262" s="86"/>
      <c r="M262" s="93">
        <f>+C262+E262-G262</f>
        <v>0</v>
      </c>
    </row>
    <row r="263" spans="1:14" ht="18" customHeight="1" x14ac:dyDescent="0.3">
      <c r="A263" s="61" t="s">
        <v>690</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691</v>
      </c>
      <c r="C265" s="89">
        <f>SUM(C250:C263)</f>
        <v>0</v>
      </c>
      <c r="D265" s="86"/>
      <c r="E265" s="89">
        <f>SUM(E250:E263)</f>
        <v>0</v>
      </c>
      <c r="F265" s="86"/>
      <c r="G265" s="89">
        <f>SUM(G250:G263)</f>
        <v>0</v>
      </c>
      <c r="H265" s="86"/>
      <c r="I265" s="89"/>
      <c r="J265" s="86"/>
      <c r="K265" s="89"/>
      <c r="L265" s="86"/>
      <c r="M265" s="89">
        <f>SUM(M250:M263)</f>
        <v>0</v>
      </c>
      <c r="N265" s="167" t="s">
        <v>692</v>
      </c>
    </row>
    <row r="266" spans="1:14" ht="18" customHeight="1" x14ac:dyDescent="0.3">
      <c r="C266" s="86"/>
      <c r="D266" s="86"/>
      <c r="E266" s="86"/>
      <c r="F266" s="86"/>
      <c r="G266" s="86"/>
      <c r="H266" s="86"/>
      <c r="I266" s="86"/>
      <c r="J266" s="86"/>
      <c r="K266" s="86"/>
      <c r="L266" s="86"/>
      <c r="M266" s="86"/>
    </row>
    <row r="267" spans="1:14" ht="18" customHeight="1" x14ac:dyDescent="0.3">
      <c r="A267" s="61" t="s">
        <v>693</v>
      </c>
      <c r="C267" s="86"/>
      <c r="D267" s="86"/>
      <c r="E267" s="86"/>
      <c r="F267" s="86"/>
      <c r="G267" s="86"/>
      <c r="H267" s="86"/>
      <c r="I267" s="86"/>
      <c r="J267" s="86"/>
      <c r="K267" s="86"/>
      <c r="L267" s="86"/>
      <c r="M267" s="86"/>
    </row>
    <row r="268" spans="1:14" ht="18" customHeight="1" x14ac:dyDescent="0.3">
      <c r="A268" s="61" t="s">
        <v>694</v>
      </c>
      <c r="C268" s="86"/>
      <c r="D268" s="86"/>
      <c r="E268" s="86"/>
      <c r="F268" s="86"/>
      <c r="G268" s="86"/>
      <c r="H268" s="86"/>
      <c r="I268" s="86"/>
      <c r="J268" s="86"/>
      <c r="K268" s="86"/>
      <c r="L268" s="86"/>
      <c r="M268" s="86"/>
    </row>
    <row r="269" spans="1:14" ht="18" customHeight="1" x14ac:dyDescent="0.3">
      <c r="A269" s="61" t="s">
        <v>695</v>
      </c>
      <c r="C269" s="93"/>
      <c r="D269" s="86"/>
      <c r="E269" s="93"/>
      <c r="F269" s="86"/>
      <c r="G269" s="93"/>
      <c r="H269" s="86"/>
      <c r="I269" s="93"/>
      <c r="J269" s="86"/>
      <c r="K269" s="93"/>
      <c r="L269" s="86"/>
      <c r="M269" s="93">
        <f>+C269+E269-G269</f>
        <v>0</v>
      </c>
    </row>
    <row r="270" spans="1:14" ht="18" customHeight="1" x14ac:dyDescent="0.3">
      <c r="A270" s="61" t="s">
        <v>696</v>
      </c>
      <c r="C270" s="93"/>
      <c r="D270" s="86"/>
      <c r="E270" s="93"/>
      <c r="F270" s="86"/>
      <c r="G270" s="93"/>
      <c r="H270" s="86"/>
      <c r="I270" s="93"/>
      <c r="J270" s="86"/>
      <c r="K270" s="93"/>
      <c r="L270" s="86"/>
      <c r="M270" s="93">
        <f>+C270+E270-G270</f>
        <v>0</v>
      </c>
    </row>
    <row r="271" spans="1:14" ht="18" customHeight="1" x14ac:dyDescent="0.3">
      <c r="A271" s="61" t="s">
        <v>697</v>
      </c>
      <c r="C271" s="93"/>
      <c r="D271" s="86"/>
      <c r="E271" s="93"/>
      <c r="F271" s="86"/>
      <c r="G271" s="93"/>
      <c r="H271" s="86"/>
      <c r="I271" s="93"/>
      <c r="J271" s="86"/>
      <c r="K271" s="93"/>
      <c r="L271" s="86"/>
      <c r="M271" s="93">
        <f>+C271+E271-G271</f>
        <v>0</v>
      </c>
    </row>
    <row r="272" spans="1:14" ht="18" customHeight="1" x14ac:dyDescent="0.3">
      <c r="A272" s="61" t="s">
        <v>698</v>
      </c>
      <c r="C272" s="86"/>
      <c r="D272" s="86"/>
      <c r="E272" s="86"/>
      <c r="F272" s="86"/>
      <c r="G272" s="86"/>
      <c r="H272" s="86"/>
      <c r="I272" s="86"/>
      <c r="J272" s="86"/>
      <c r="K272" s="86"/>
      <c r="L272" s="86"/>
      <c r="M272" s="86"/>
    </row>
    <row r="273" spans="1:14" ht="18" customHeight="1" x14ac:dyDescent="0.3">
      <c r="A273" s="61" t="s">
        <v>699</v>
      </c>
      <c r="C273" s="86"/>
      <c r="D273" s="86"/>
      <c r="E273" s="86"/>
      <c r="F273" s="86"/>
      <c r="G273" s="86"/>
      <c r="H273" s="86"/>
      <c r="I273" s="86"/>
      <c r="J273" s="86"/>
      <c r="K273" s="86"/>
      <c r="L273" s="86"/>
      <c r="M273" s="86"/>
    </row>
    <row r="274" spans="1:14" ht="18" customHeight="1" x14ac:dyDescent="0.3">
      <c r="A274" s="61" t="s">
        <v>700</v>
      </c>
      <c r="C274" s="93"/>
      <c r="D274" s="86"/>
      <c r="E274" s="93"/>
      <c r="F274" s="86"/>
      <c r="G274" s="93"/>
      <c r="H274" s="86"/>
      <c r="I274" s="93"/>
      <c r="J274" s="86"/>
      <c r="K274" s="93"/>
      <c r="L274" s="86"/>
      <c r="M274" s="93">
        <f>+C274+E274-G274</f>
        <v>0</v>
      </c>
    </row>
    <row r="275" spans="1:14" ht="18" customHeight="1" x14ac:dyDescent="0.3">
      <c r="A275" s="61" t="s">
        <v>701</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702</v>
      </c>
      <c r="C277" s="89">
        <f>SUM(C269:C275)</f>
        <v>0</v>
      </c>
      <c r="D277" s="86"/>
      <c r="E277" s="89">
        <f>SUM(E269:E275)</f>
        <v>0</v>
      </c>
      <c r="F277" s="86"/>
      <c r="G277" s="89">
        <f>SUM(G269:G275)</f>
        <v>0</v>
      </c>
      <c r="H277" s="86"/>
      <c r="I277" s="89"/>
      <c r="J277" s="86"/>
      <c r="K277" s="89"/>
      <c r="L277" s="86"/>
      <c r="M277" s="89">
        <f>SUM(M269:M275)</f>
        <v>0</v>
      </c>
      <c r="N277" s="167" t="s">
        <v>335</v>
      </c>
    </row>
    <row r="278" spans="1:14" ht="18" customHeight="1" x14ac:dyDescent="0.3">
      <c r="C278" s="86"/>
      <c r="D278" s="86"/>
      <c r="E278" s="86"/>
      <c r="F278" s="86"/>
      <c r="G278" s="86"/>
      <c r="H278" s="86"/>
      <c r="I278" s="86"/>
      <c r="J278" s="86"/>
      <c r="K278" s="86"/>
      <c r="L278" s="86"/>
      <c r="M278" s="86"/>
    </row>
    <row r="279" spans="1:14" ht="18" customHeight="1" x14ac:dyDescent="0.3">
      <c r="A279" s="84" t="s">
        <v>703</v>
      </c>
      <c r="C279" s="89"/>
      <c r="D279" s="86"/>
      <c r="E279" s="89"/>
      <c r="F279" s="86"/>
      <c r="G279" s="89"/>
      <c r="H279" s="86"/>
      <c r="I279" s="89"/>
      <c r="J279" s="86"/>
      <c r="K279" s="89"/>
      <c r="L279" s="86"/>
      <c r="M279" s="89">
        <f>+C279+E279-G279</f>
        <v>0</v>
      </c>
      <c r="N279" s="167" t="s">
        <v>704</v>
      </c>
    </row>
    <row r="280" spans="1:14" ht="18" customHeight="1" x14ac:dyDescent="0.3">
      <c r="C280" s="86"/>
      <c r="D280" s="86"/>
      <c r="E280" s="86"/>
      <c r="F280" s="86"/>
      <c r="G280" s="86"/>
      <c r="H280" s="86"/>
      <c r="I280" s="86"/>
      <c r="J280" s="86"/>
      <c r="K280" s="86"/>
      <c r="L280" s="86"/>
      <c r="M280" s="86"/>
    </row>
    <row r="281" spans="1:14" ht="18" customHeight="1" x14ac:dyDescent="0.3">
      <c r="A281" s="61" t="s">
        <v>705</v>
      </c>
      <c r="C281" s="89"/>
      <c r="D281" s="86"/>
      <c r="E281" s="89"/>
      <c r="F281" s="86"/>
      <c r="G281" s="89"/>
      <c r="H281" s="86"/>
      <c r="I281" s="89"/>
      <c r="J281" s="86"/>
      <c r="K281" s="89"/>
      <c r="L281" s="86"/>
      <c r="M281" s="89">
        <f>+C281+E281-G281</f>
        <v>0</v>
      </c>
      <c r="N281" s="167" t="s">
        <v>706</v>
      </c>
    </row>
    <row r="282" spans="1:14" ht="18" customHeight="1" x14ac:dyDescent="0.3">
      <c r="C282" s="86"/>
      <c r="D282" s="86"/>
      <c r="E282" s="86"/>
      <c r="F282" s="86"/>
      <c r="G282" s="86"/>
      <c r="H282" s="86"/>
      <c r="I282" s="86"/>
      <c r="J282" s="86"/>
      <c r="K282" s="86"/>
      <c r="L282" s="86"/>
      <c r="M282" s="86"/>
    </row>
    <row r="283" spans="1:14" ht="18" customHeight="1" x14ac:dyDescent="0.3">
      <c r="A283" s="61" t="s">
        <v>707</v>
      </c>
      <c r="C283" s="86"/>
      <c r="D283" s="86"/>
      <c r="E283" s="86"/>
      <c r="F283" s="86"/>
      <c r="G283" s="86"/>
      <c r="H283" s="86"/>
      <c r="I283" s="86"/>
      <c r="J283" s="86"/>
      <c r="K283" s="86"/>
      <c r="L283" s="86"/>
      <c r="M283" s="86"/>
    </row>
    <row r="284" spans="1:14" ht="18" customHeight="1" x14ac:dyDescent="0.3">
      <c r="A284" s="61" t="s">
        <v>708</v>
      </c>
      <c r="C284" s="89"/>
      <c r="D284" s="86"/>
      <c r="E284" s="89"/>
      <c r="F284" s="86"/>
      <c r="G284" s="89"/>
      <c r="H284" s="86"/>
      <c r="I284" s="89"/>
      <c r="J284" s="86"/>
      <c r="K284" s="89"/>
      <c r="L284" s="86"/>
      <c r="M284" s="89">
        <f>+C284+E284-G284</f>
        <v>0</v>
      </c>
      <c r="N284" s="167" t="s">
        <v>709</v>
      </c>
    </row>
    <row r="285" spans="1:14" ht="18" customHeight="1" x14ac:dyDescent="0.3">
      <c r="C285" s="86"/>
      <c r="D285" s="86"/>
      <c r="E285" s="86"/>
      <c r="F285" s="86"/>
      <c r="G285" s="86"/>
      <c r="H285" s="86"/>
      <c r="I285" s="86"/>
      <c r="J285" s="86"/>
      <c r="K285" s="86"/>
      <c r="L285" s="86"/>
      <c r="M285" s="86"/>
    </row>
    <row r="286" spans="1:14" ht="18" customHeight="1" x14ac:dyDescent="0.3">
      <c r="A286" s="61" t="s">
        <v>710</v>
      </c>
      <c r="C286" s="89"/>
      <c r="D286" s="86"/>
      <c r="E286" s="89"/>
      <c r="F286" s="86"/>
      <c r="G286" s="89"/>
      <c r="H286" s="86"/>
      <c r="I286" s="89"/>
      <c r="J286" s="86"/>
      <c r="K286" s="89"/>
      <c r="L286" s="86"/>
      <c r="M286" s="89">
        <f>+C286+E286-G286</f>
        <v>0</v>
      </c>
      <c r="N286" s="167" t="s">
        <v>711</v>
      </c>
    </row>
    <row r="287" spans="1:14" ht="18" customHeight="1" x14ac:dyDescent="0.3">
      <c r="C287" s="86"/>
      <c r="D287" s="86"/>
      <c r="E287" s="86"/>
      <c r="F287" s="86"/>
      <c r="G287" s="86"/>
      <c r="H287" s="86"/>
      <c r="I287" s="86"/>
      <c r="J287" s="86"/>
      <c r="K287" s="86"/>
      <c r="L287" s="86"/>
      <c r="M287" s="86"/>
    </row>
    <row r="288" spans="1:14" ht="18" customHeight="1" x14ac:dyDescent="0.3">
      <c r="A288" s="61" t="s">
        <v>712</v>
      </c>
      <c r="C288" s="89"/>
      <c r="D288" s="86"/>
      <c r="E288" s="89"/>
      <c r="F288" s="86"/>
      <c r="G288" s="89"/>
      <c r="H288" s="86"/>
      <c r="I288" s="93"/>
      <c r="J288" s="86"/>
      <c r="K288" s="93"/>
      <c r="L288" s="86"/>
      <c r="M288" s="89">
        <f>+C288+E288-G288</f>
        <v>0</v>
      </c>
      <c r="N288" s="167" t="s">
        <v>713</v>
      </c>
    </row>
    <row r="289" spans="1:14" ht="18" customHeight="1" x14ac:dyDescent="0.3">
      <c r="C289" s="86"/>
      <c r="D289" s="86"/>
      <c r="E289" s="86"/>
      <c r="F289" s="86"/>
      <c r="G289" s="86"/>
      <c r="H289" s="86"/>
      <c r="I289" s="86"/>
      <c r="J289" s="86"/>
      <c r="K289" s="86"/>
      <c r="L289" s="86"/>
      <c r="M289" s="86"/>
    </row>
    <row r="290" spans="1:14" ht="18" customHeight="1" x14ac:dyDescent="0.3">
      <c r="A290" s="61" t="s">
        <v>195</v>
      </c>
      <c r="C290" s="89">
        <f>+C288+C286+C284+C281+C279+C277+C265+C246+C226+C192+C174+C156</f>
        <v>0</v>
      </c>
      <c r="D290" s="86"/>
      <c r="E290" s="89">
        <f>+E288+E286+E284+E281+E279+E277+E265+E246+E226+E192+E174+E156</f>
        <v>27238.5</v>
      </c>
      <c r="F290" s="86"/>
      <c r="G290" s="89">
        <f>+G288+G286+G284+G281+G279+G277+G265+G246+G226+G192+G174+G156</f>
        <v>76920.113795294543</v>
      </c>
      <c r="H290" s="86"/>
      <c r="I290" s="89"/>
      <c r="J290" s="86"/>
      <c r="K290" s="89"/>
      <c r="L290" s="86"/>
      <c r="M290" s="89">
        <f>+M288+M286+M284+M281+M279+M277+M265+M246+M226+M192+M174+M156</f>
        <v>-49681.613795294543</v>
      </c>
    </row>
    <row r="291" spans="1:14" ht="18" customHeight="1" x14ac:dyDescent="0.3">
      <c r="C291" s="85"/>
      <c r="D291" s="86"/>
      <c r="E291" s="85"/>
      <c r="F291" s="86"/>
      <c r="G291" s="85"/>
      <c r="H291" s="86"/>
      <c r="I291" s="85"/>
      <c r="J291" s="86"/>
      <c r="K291" s="85"/>
      <c r="L291" s="86"/>
      <c r="M291" s="85"/>
    </row>
    <row r="292" spans="1:14" ht="18" customHeight="1" x14ac:dyDescent="0.3">
      <c r="A292" s="61" t="s">
        <v>714</v>
      </c>
      <c r="C292" s="89">
        <f>+C118-C290</f>
        <v>0</v>
      </c>
      <c r="D292" s="86"/>
      <c r="E292" s="89">
        <f>+E118-E290</f>
        <v>-27238.5</v>
      </c>
      <c r="F292" s="86"/>
      <c r="G292" s="89">
        <f>+G118-G290</f>
        <v>-76920.113795294543</v>
      </c>
      <c r="H292" s="86"/>
      <c r="I292" s="85"/>
      <c r="J292" s="86"/>
      <c r="K292" s="85"/>
      <c r="L292" s="86"/>
      <c r="M292" s="89">
        <f>+M118-M290</f>
        <v>49681.613795294543</v>
      </c>
    </row>
    <row r="293" spans="1:14" ht="18" customHeight="1" x14ac:dyDescent="0.3">
      <c r="C293" s="86"/>
      <c r="D293" s="86"/>
      <c r="E293" s="86"/>
      <c r="F293" s="86"/>
      <c r="G293" s="86"/>
      <c r="H293" s="86"/>
      <c r="I293" s="86"/>
      <c r="J293" s="86"/>
      <c r="K293" s="86"/>
      <c r="L293" s="86"/>
      <c r="M293" s="86"/>
    </row>
    <row r="294" spans="1:14" ht="18" customHeight="1" x14ac:dyDescent="0.3">
      <c r="A294" s="84" t="s">
        <v>715</v>
      </c>
      <c r="C294" s="86"/>
      <c r="D294" s="86"/>
      <c r="E294" s="86"/>
      <c r="F294" s="86"/>
      <c r="G294" s="86"/>
      <c r="H294" s="86"/>
      <c r="I294" s="86"/>
      <c r="J294" s="86"/>
      <c r="K294" s="86"/>
      <c r="L294" s="86"/>
      <c r="M294" s="86"/>
    </row>
    <row r="295" spans="1:14" ht="18" customHeight="1" x14ac:dyDescent="0.3">
      <c r="A295" s="61" t="s">
        <v>716</v>
      </c>
      <c r="C295" s="93"/>
      <c r="D295" s="86"/>
      <c r="E295" s="93"/>
      <c r="F295" s="86"/>
      <c r="G295" s="93"/>
      <c r="H295" s="86"/>
      <c r="I295" s="93"/>
      <c r="J295" s="86"/>
      <c r="K295" s="93"/>
      <c r="L295" s="86"/>
      <c r="M295" s="93">
        <f>+C295-E295+G295</f>
        <v>0</v>
      </c>
      <c r="N295" s="167" t="s">
        <v>196</v>
      </c>
    </row>
    <row r="296" spans="1:14" ht="18" customHeight="1" x14ac:dyDescent="0.3">
      <c r="A296" s="61" t="s">
        <v>717</v>
      </c>
      <c r="C296" s="93"/>
      <c r="D296" s="86"/>
      <c r="E296" s="93"/>
      <c r="F296" s="86"/>
      <c r="G296" s="93"/>
      <c r="H296" s="86"/>
      <c r="I296" s="93"/>
      <c r="J296" s="86"/>
      <c r="K296" s="93"/>
      <c r="L296" s="86"/>
      <c r="M296" s="93">
        <f>+C296+E296-G296</f>
        <v>0</v>
      </c>
      <c r="N296" s="167" t="s">
        <v>196</v>
      </c>
    </row>
    <row r="297" spans="1:14" ht="18" customHeight="1" x14ac:dyDescent="0.3">
      <c r="A297" s="61" t="s">
        <v>718</v>
      </c>
      <c r="C297" s="93"/>
      <c r="D297" s="86"/>
      <c r="E297" s="93"/>
      <c r="F297" s="86"/>
      <c r="G297" s="93"/>
      <c r="H297" s="86"/>
      <c r="I297" s="93"/>
      <c r="J297" s="86"/>
      <c r="K297" s="93"/>
      <c r="L297" s="86"/>
      <c r="M297" s="93">
        <f>+C297-E297+G297</f>
        <v>0</v>
      </c>
      <c r="N297" s="167" t="s">
        <v>719</v>
      </c>
    </row>
    <row r="298" spans="1:14" ht="18" customHeight="1" x14ac:dyDescent="0.3">
      <c r="A298" s="61" t="s">
        <v>720</v>
      </c>
      <c r="C298" s="93"/>
      <c r="D298" s="86"/>
      <c r="E298" s="93"/>
      <c r="F298" s="86"/>
      <c r="G298" s="93"/>
      <c r="H298" s="86"/>
      <c r="I298" s="93"/>
      <c r="J298" s="86"/>
      <c r="K298" s="93"/>
      <c r="L298" s="86"/>
      <c r="M298" s="93">
        <f>+C298-E298+G298</f>
        <v>0</v>
      </c>
      <c r="N298" s="167" t="s">
        <v>197</v>
      </c>
    </row>
    <row r="299" spans="1:14" ht="18" customHeight="1" x14ac:dyDescent="0.3">
      <c r="A299" s="61" t="s">
        <v>721</v>
      </c>
      <c r="C299" s="93"/>
      <c r="D299" s="86"/>
      <c r="E299" s="93"/>
      <c r="F299" s="86"/>
      <c r="G299" s="93"/>
      <c r="H299" s="86"/>
      <c r="I299" s="93"/>
      <c r="J299" s="86"/>
      <c r="K299" s="93"/>
      <c r="L299" s="86"/>
      <c r="M299" s="93">
        <f>+C299-E299+G299</f>
        <v>0</v>
      </c>
      <c r="N299" s="167" t="s">
        <v>572</v>
      </c>
    </row>
    <row r="300" spans="1:14" ht="18" customHeight="1" x14ac:dyDescent="0.3">
      <c r="A300" s="61" t="s">
        <v>722</v>
      </c>
      <c r="C300" s="86"/>
      <c r="D300" s="86"/>
      <c r="E300" s="86"/>
      <c r="F300" s="86"/>
      <c r="G300" s="86"/>
      <c r="H300" s="86"/>
      <c r="I300" s="86"/>
      <c r="J300" s="86"/>
      <c r="K300" s="86"/>
      <c r="L300" s="86"/>
      <c r="M300" s="86"/>
    </row>
    <row r="301" spans="1:14" ht="18" customHeight="1" x14ac:dyDescent="0.3">
      <c r="A301" s="61" t="s">
        <v>723</v>
      </c>
      <c r="C301" s="93"/>
      <c r="D301" s="86"/>
      <c r="E301" s="93"/>
      <c r="F301" s="86"/>
      <c r="G301" s="93"/>
      <c r="H301" s="86"/>
      <c r="I301" s="93"/>
      <c r="J301" s="86"/>
      <c r="K301" s="93"/>
      <c r="L301" s="86"/>
      <c r="M301" s="93">
        <f>+C301+E301-G301</f>
        <v>0</v>
      </c>
      <c r="N301" s="167" t="s">
        <v>724</v>
      </c>
    </row>
    <row r="302" spans="1:14" ht="18" customHeight="1" x14ac:dyDescent="0.3">
      <c r="A302" s="84" t="s">
        <v>725</v>
      </c>
      <c r="C302" s="93"/>
      <c r="D302" s="86"/>
      <c r="E302" s="93"/>
      <c r="F302" s="86"/>
      <c r="G302" s="93"/>
      <c r="H302" s="86"/>
      <c r="I302" s="93"/>
      <c r="J302" s="86"/>
      <c r="K302" s="93"/>
      <c r="L302" s="86"/>
      <c r="M302" s="93">
        <f>+C302+E302-G302</f>
        <v>0</v>
      </c>
      <c r="N302" s="167" t="s">
        <v>726</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727</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728</v>
      </c>
      <c r="C306" s="93"/>
      <c r="D306" s="86"/>
      <c r="E306" s="93"/>
      <c r="F306" s="85"/>
      <c r="G306" s="93"/>
      <c r="H306" s="86"/>
      <c r="I306" s="93"/>
      <c r="J306" s="86"/>
      <c r="K306" s="93"/>
      <c r="L306" s="86"/>
      <c r="M306" s="93">
        <f>C306</f>
        <v>0</v>
      </c>
      <c r="N306" s="167" t="s">
        <v>729</v>
      </c>
    </row>
    <row r="307" spans="1:14" ht="18" customHeight="1" x14ac:dyDescent="0.3">
      <c r="A307" s="61" t="s">
        <v>730</v>
      </c>
      <c r="C307" s="93"/>
      <c r="D307" s="86"/>
      <c r="E307" s="93"/>
      <c r="F307" s="85"/>
      <c r="G307" s="93"/>
      <c r="H307" s="86"/>
      <c r="I307" s="93"/>
      <c r="J307" s="86"/>
      <c r="K307" s="93"/>
      <c r="L307" s="86"/>
      <c r="M307" s="93">
        <f>C307</f>
        <v>0</v>
      </c>
      <c r="N307" s="167" t="s">
        <v>731</v>
      </c>
    </row>
    <row r="308" spans="1:14" ht="18" customHeight="1" x14ac:dyDescent="0.3">
      <c r="C308" s="86"/>
      <c r="D308" s="86"/>
      <c r="E308" s="85"/>
      <c r="F308" s="85"/>
      <c r="G308" s="85"/>
      <c r="H308" s="86"/>
      <c r="I308" s="86"/>
      <c r="J308" s="86"/>
      <c r="K308" s="86"/>
      <c r="L308" s="86"/>
      <c r="M308" s="86"/>
    </row>
    <row r="309" spans="1:14" ht="18" customHeight="1" x14ac:dyDescent="0.3">
      <c r="A309" s="61" t="s">
        <v>732</v>
      </c>
      <c r="C309" s="86"/>
      <c r="D309" s="86"/>
      <c r="E309" s="85"/>
      <c r="F309" s="85"/>
      <c r="G309" s="85"/>
      <c r="H309" s="86"/>
      <c r="I309" s="86"/>
      <c r="J309" s="86"/>
      <c r="K309" s="86"/>
      <c r="L309" s="86"/>
      <c r="M309" s="86"/>
    </row>
    <row r="310" spans="1:14" ht="18" customHeight="1" x14ac:dyDescent="0.3">
      <c r="A310" s="92" t="s">
        <v>733</v>
      </c>
      <c r="C310" s="89">
        <f>+C307+C306+C118-C290+C304</f>
        <v>0</v>
      </c>
      <c r="D310" s="86"/>
      <c r="E310" s="85"/>
      <c r="F310" s="85"/>
      <c r="G310" s="85"/>
      <c r="H310" s="86"/>
      <c r="I310" s="89"/>
      <c r="J310" s="86"/>
      <c r="K310" s="89"/>
      <c r="L310" s="86"/>
      <c r="M310" s="89">
        <f>+M312+M307+M306+M118-M290+M304</f>
        <v>49681.613795294543</v>
      </c>
      <c r="N310" s="180" t="s">
        <v>734</v>
      </c>
    </row>
    <row r="311" spans="1:14" ht="18" customHeight="1" x14ac:dyDescent="0.3">
      <c r="C311" s="85"/>
      <c r="D311" s="86"/>
      <c r="E311" s="85"/>
      <c r="F311" s="85"/>
      <c r="G311" s="85"/>
      <c r="H311" s="86"/>
      <c r="I311" s="85"/>
      <c r="J311" s="86"/>
      <c r="K311" s="85"/>
      <c r="L311" s="86"/>
      <c r="M311" s="85"/>
    </row>
    <row r="312" spans="1:14" ht="18" customHeight="1" x14ac:dyDescent="0.3">
      <c r="A312" s="61" t="s">
        <v>735</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736</v>
      </c>
      <c r="B314" s="88"/>
      <c r="C314" s="93"/>
      <c r="D314" s="85"/>
      <c r="E314" s="196">
        <f>Reconciliations!C11</f>
        <v>0</v>
      </c>
      <c r="F314" s="197" t="s">
        <v>125</v>
      </c>
      <c r="G314" s="196">
        <f>Reconciliations!D11</f>
        <v>67810.908684599985</v>
      </c>
      <c r="H314" s="85" t="s">
        <v>125</v>
      </c>
      <c r="I314" s="85"/>
      <c r="J314" s="85"/>
      <c r="K314" s="85"/>
      <c r="L314" s="85"/>
      <c r="M314" s="93">
        <f>+C314-E314-E315-E316+G314+G315+G316</f>
        <v>67810.908684599985</v>
      </c>
      <c r="N314" s="193" t="s">
        <v>737</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198</v>
      </c>
      <c r="B317" s="88"/>
      <c r="C317" s="85"/>
      <c r="D317" s="85"/>
      <c r="E317" s="85"/>
      <c r="F317" s="85"/>
      <c r="G317" s="85"/>
      <c r="H317" s="85"/>
      <c r="I317" s="85"/>
      <c r="J317" s="85"/>
      <c r="K317" s="85"/>
      <c r="L317" s="85"/>
      <c r="M317" s="85"/>
      <c r="N317" s="188"/>
    </row>
    <row r="318" spans="1:14" ht="18" customHeight="1" x14ac:dyDescent="0.3">
      <c r="A318" s="192" t="s">
        <v>738</v>
      </c>
      <c r="B318" s="88"/>
      <c r="C318" s="93"/>
      <c r="D318" s="85"/>
      <c r="E318" s="93"/>
      <c r="F318" s="85"/>
      <c r="G318" s="93"/>
      <c r="H318" s="85"/>
      <c r="I318" s="85"/>
      <c r="J318" s="85"/>
      <c r="K318" s="85"/>
      <c r="L318" s="85"/>
      <c r="M318" s="93">
        <f>C318</f>
        <v>0</v>
      </c>
      <c r="N318" s="188" t="s">
        <v>163</v>
      </c>
    </row>
    <row r="319" spans="1:14" ht="18" customHeight="1" x14ac:dyDescent="0.3">
      <c r="A319" s="192" t="s">
        <v>738</v>
      </c>
      <c r="B319" s="88"/>
      <c r="C319" s="93"/>
      <c r="D319" s="85"/>
      <c r="E319" s="93"/>
      <c r="F319" s="85"/>
      <c r="G319" s="93"/>
      <c r="H319" s="85"/>
      <c r="I319" s="85"/>
      <c r="J319" s="85"/>
      <c r="K319" s="85"/>
      <c r="L319" s="85"/>
      <c r="M319" s="93">
        <f>C319</f>
        <v>0</v>
      </c>
      <c r="N319" s="188"/>
    </row>
    <row r="320" spans="1:14" ht="18" customHeight="1" x14ac:dyDescent="0.3">
      <c r="A320" s="192" t="s">
        <v>738</v>
      </c>
      <c r="B320" s="88"/>
      <c r="C320" s="93"/>
      <c r="D320" s="85"/>
      <c r="E320" s="93"/>
      <c r="F320" s="85"/>
      <c r="G320" s="93"/>
      <c r="H320" s="85"/>
      <c r="I320" s="85"/>
      <c r="J320" s="85"/>
      <c r="K320" s="85"/>
      <c r="L320" s="85"/>
      <c r="M320" s="93">
        <f>C320</f>
        <v>0</v>
      </c>
      <c r="N320" s="188"/>
    </row>
    <row r="321" spans="1:14" ht="18" customHeight="1" x14ac:dyDescent="0.3">
      <c r="A321" s="192" t="s">
        <v>738</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199</v>
      </c>
      <c r="B323" s="88"/>
      <c r="C323" s="93">
        <f>+C321+C320+C319+C314</f>
        <v>0</v>
      </c>
      <c r="D323" s="85"/>
      <c r="E323" s="85"/>
      <c r="F323" s="85"/>
      <c r="G323" s="85"/>
      <c r="H323" s="85"/>
      <c r="I323" s="85"/>
      <c r="J323" s="85"/>
      <c r="K323" s="85"/>
      <c r="L323" s="85"/>
      <c r="M323" s="93">
        <f>+M321+M320+M319+M314</f>
        <v>67810.908684599985</v>
      </c>
      <c r="N323" s="191" t="s">
        <v>737</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739</v>
      </c>
      <c r="B325" s="88"/>
      <c r="C325" s="87">
        <f>+C323+C310+C312</f>
        <v>0</v>
      </c>
      <c r="D325" s="85"/>
      <c r="E325" s="85"/>
      <c r="F325" s="85"/>
      <c r="G325" s="85"/>
      <c r="H325" s="85"/>
      <c r="I325" s="85"/>
      <c r="J325" s="85"/>
      <c r="K325" s="85"/>
      <c r="L325" s="85"/>
      <c r="M325" s="87">
        <f>+M323+M310+M312</f>
        <v>117492.52247989453</v>
      </c>
      <c r="N325" s="191" t="s">
        <v>740</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zoomScaleNormal="100" zoomScaleSheetLayoutView="100" workbookViewId="0">
      <selection activeCell="B1" sqref="B1"/>
    </sheetView>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204</v>
      </c>
    </row>
    <row r="2" spans="1:1" ht="6" customHeight="1" x14ac:dyDescent="0.3"/>
    <row r="3" spans="1:1" x14ac:dyDescent="0.3">
      <c r="A3" s="108" t="s">
        <v>205</v>
      </c>
    </row>
    <row r="4" spans="1:1" x14ac:dyDescent="0.3">
      <c r="A4" s="109" t="s">
        <v>297</v>
      </c>
    </row>
    <row r="5" spans="1:1" x14ac:dyDescent="0.3">
      <c r="A5" s="109" t="s">
        <v>892</v>
      </c>
    </row>
    <row r="6" spans="1:1" x14ac:dyDescent="0.3">
      <c r="A6" s="109" t="s">
        <v>887</v>
      </c>
    </row>
    <row r="7" spans="1:1" x14ac:dyDescent="0.3">
      <c r="A7" s="109" t="s">
        <v>888</v>
      </c>
    </row>
    <row r="8" spans="1:1" s="338" customFormat="1" x14ac:dyDescent="0.3">
      <c r="A8" s="337" t="s">
        <v>898</v>
      </c>
    </row>
    <row r="9" spans="1:1" x14ac:dyDescent="0.3">
      <c r="A9" s="109" t="s">
        <v>944</v>
      </c>
    </row>
    <row r="10" spans="1:1" x14ac:dyDescent="0.3">
      <c r="A10" s="109" t="s">
        <v>206</v>
      </c>
    </row>
    <row r="11" spans="1:1" x14ac:dyDescent="0.3">
      <c r="A11" s="109" t="s">
        <v>299</v>
      </c>
    </row>
    <row r="12" spans="1:1" x14ac:dyDescent="0.3">
      <c r="A12" s="109" t="s">
        <v>207</v>
      </c>
    </row>
    <row r="14" spans="1:1" x14ac:dyDescent="0.3">
      <c r="A14" s="108" t="s">
        <v>208</v>
      </c>
    </row>
    <row r="15" spans="1:1" x14ac:dyDescent="0.3">
      <c r="A15" t="s">
        <v>854</v>
      </c>
    </row>
    <row r="16" spans="1:1" x14ac:dyDescent="0.3">
      <c r="A16" t="s">
        <v>855</v>
      </c>
    </row>
    <row r="17" spans="1:1" s="333" customFormat="1" x14ac:dyDescent="0.3">
      <c r="A17" s="333" t="s">
        <v>856</v>
      </c>
    </row>
    <row r="18" spans="1:1" s="288" customFormat="1" x14ac:dyDescent="0.3"/>
    <row r="19" spans="1:1" s="288" customFormat="1" x14ac:dyDescent="0.3">
      <c r="A19" s="288" t="s">
        <v>811</v>
      </c>
    </row>
    <row r="20" spans="1:1" s="288" customFormat="1" x14ac:dyDescent="0.3">
      <c r="A20" s="288" t="s">
        <v>812</v>
      </c>
    </row>
    <row r="21" spans="1:1" s="288" customFormat="1" x14ac:dyDescent="0.3">
      <c r="A21" s="288" t="s">
        <v>813</v>
      </c>
    </row>
    <row r="22" spans="1:1" s="288" customFormat="1" x14ac:dyDescent="0.3">
      <c r="A22" s="288" t="s">
        <v>815</v>
      </c>
    </row>
    <row r="23" spans="1:1" s="288" customFormat="1" x14ac:dyDescent="0.3">
      <c r="A23" s="288" t="s">
        <v>814</v>
      </c>
    </row>
    <row r="24" spans="1:1" s="288" customFormat="1" x14ac:dyDescent="0.3">
      <c r="A24" s="288" t="s">
        <v>816</v>
      </c>
    </row>
    <row r="25" spans="1:1" s="288" customFormat="1" x14ac:dyDescent="0.3">
      <c r="A25" s="288" t="s">
        <v>817</v>
      </c>
    </row>
    <row r="26" spans="1:1" s="288" customFormat="1" x14ac:dyDescent="0.3">
      <c r="A26" s="288" t="s">
        <v>818</v>
      </c>
    </row>
    <row r="27" spans="1:1" s="288" customFormat="1" x14ac:dyDescent="0.3">
      <c r="A27" s="288" t="s">
        <v>819</v>
      </c>
    </row>
    <row r="28" spans="1:1" s="288" customFormat="1" x14ac:dyDescent="0.3">
      <c r="A28" s="288" t="s">
        <v>820</v>
      </c>
    </row>
    <row r="29" spans="1:1" s="288" customFormat="1" x14ac:dyDescent="0.3">
      <c r="A29" s="288" t="s">
        <v>857</v>
      </c>
    </row>
    <row r="30" spans="1:1" s="333" customFormat="1" x14ac:dyDescent="0.3">
      <c r="A30" s="333" t="s">
        <v>858</v>
      </c>
    </row>
    <row r="31" spans="1:1" s="288" customFormat="1" x14ac:dyDescent="0.3"/>
    <row r="32" spans="1:1" s="288" customFormat="1" x14ac:dyDescent="0.3">
      <c r="A32" s="288" t="s">
        <v>821</v>
      </c>
    </row>
    <row r="33" spans="1:6" s="288" customFormat="1" x14ac:dyDescent="0.3">
      <c r="A33" s="288" t="s">
        <v>822</v>
      </c>
    </row>
    <row r="34" spans="1:6" s="288" customFormat="1" x14ac:dyDescent="0.3">
      <c r="A34" s="288" t="s">
        <v>832</v>
      </c>
    </row>
    <row r="35" spans="1:6" s="288" customFormat="1" x14ac:dyDescent="0.3">
      <c r="A35" s="288" t="s">
        <v>823</v>
      </c>
    </row>
    <row r="36" spans="1:6" s="288" customFormat="1" x14ac:dyDescent="0.3">
      <c r="A36" s="288" t="s">
        <v>833</v>
      </c>
    </row>
    <row r="37" spans="1:6" s="288" customFormat="1" x14ac:dyDescent="0.3">
      <c r="A37" s="288" t="s">
        <v>830</v>
      </c>
    </row>
    <row r="38" spans="1:6" s="288" customFormat="1" x14ac:dyDescent="0.3">
      <c r="A38" s="288" t="s">
        <v>824</v>
      </c>
    </row>
    <row r="39" spans="1:6" s="288" customFormat="1" x14ac:dyDescent="0.3">
      <c r="A39" s="288" t="s">
        <v>825</v>
      </c>
    </row>
    <row r="40" spans="1:6" s="288" customFormat="1" x14ac:dyDescent="0.3">
      <c r="A40" s="288" t="s">
        <v>826</v>
      </c>
    </row>
    <row r="41" spans="1:6" s="288" customFormat="1" x14ac:dyDescent="0.3">
      <c r="A41" s="288" t="s">
        <v>827</v>
      </c>
    </row>
    <row r="42" spans="1:6" s="288" customFormat="1" x14ac:dyDescent="0.3"/>
    <row r="43" spans="1:6" s="61" customFormat="1" ht="13.5" customHeight="1" x14ac:dyDescent="0.3">
      <c r="A43" s="61" t="s">
        <v>831</v>
      </c>
    </row>
    <row r="44" spans="1:6" s="61" customFormat="1" ht="6" customHeight="1" x14ac:dyDescent="0.3"/>
    <row r="45" spans="1:6" s="61" customFormat="1" ht="13.5" customHeight="1" x14ac:dyDescent="0.3">
      <c r="A45" s="110" t="s">
        <v>209</v>
      </c>
      <c r="B45" s="416" t="s">
        <v>802</v>
      </c>
      <c r="C45" s="416"/>
      <c r="D45" s="416"/>
      <c r="E45" s="416"/>
      <c r="F45" s="416"/>
    </row>
    <row r="46" spans="1:6" s="61" customFormat="1" ht="13.5" customHeight="1" x14ac:dyDescent="0.3">
      <c r="B46" s="417" t="s">
        <v>801</v>
      </c>
      <c r="C46" s="417"/>
      <c r="D46" s="417"/>
      <c r="E46" s="417"/>
      <c r="F46" s="417"/>
    </row>
    <row r="47" spans="1:6" s="61" customFormat="1" ht="13.5" customHeight="1" x14ac:dyDescent="0.3">
      <c r="A47" s="110" t="s">
        <v>209</v>
      </c>
      <c r="B47" s="417" t="s">
        <v>803</v>
      </c>
      <c r="C47" s="417"/>
      <c r="D47" s="417"/>
      <c r="E47" s="417"/>
      <c r="F47" s="417"/>
    </row>
    <row r="48" spans="1:6" s="61" customFormat="1" ht="13.5" customHeight="1" x14ac:dyDescent="0.3">
      <c r="B48" s="110" t="s">
        <v>209</v>
      </c>
      <c r="C48" s="417" t="s">
        <v>808</v>
      </c>
      <c r="D48" s="417"/>
      <c r="E48" s="417"/>
      <c r="F48" s="417"/>
    </row>
    <row r="49" spans="1:6" s="61" customFormat="1" ht="13.5" customHeight="1" x14ac:dyDescent="0.3">
      <c r="A49" s="110" t="s">
        <v>209</v>
      </c>
      <c r="B49" s="417" t="s">
        <v>804</v>
      </c>
      <c r="C49" s="417"/>
      <c r="D49" s="417"/>
      <c r="E49" s="417"/>
      <c r="F49" s="417"/>
    </row>
    <row r="50" spans="1:6" s="61" customFormat="1" ht="13.5" customHeight="1" x14ac:dyDescent="0.3">
      <c r="B50" s="110" t="s">
        <v>209</v>
      </c>
      <c r="C50" s="417" t="s">
        <v>805</v>
      </c>
      <c r="D50" s="417"/>
      <c r="E50" s="417"/>
      <c r="F50" s="417"/>
    </row>
    <row r="51" spans="1:6" s="61" customFormat="1" ht="13.5" customHeight="1" x14ac:dyDescent="0.3">
      <c r="C51" s="415" t="s">
        <v>807</v>
      </c>
      <c r="D51" s="415"/>
      <c r="E51" s="415"/>
      <c r="F51" s="415"/>
    </row>
    <row r="52" spans="1:6" s="61" customFormat="1" ht="13.5" customHeight="1" x14ac:dyDescent="0.3">
      <c r="C52" s="415" t="s">
        <v>806</v>
      </c>
      <c r="D52" s="415"/>
      <c r="E52" s="415"/>
      <c r="F52" s="415"/>
    </row>
    <row r="53" spans="1:6" s="333" customFormat="1" ht="6.75" customHeight="1" x14ac:dyDescent="0.3">
      <c r="C53" s="332"/>
      <c r="D53" s="332"/>
      <c r="E53" s="332"/>
      <c r="F53" s="332"/>
    </row>
    <row r="54" spans="1:6" s="333" customFormat="1" ht="13.5" customHeight="1" x14ac:dyDescent="0.3">
      <c r="A54" s="333" t="s">
        <v>859</v>
      </c>
      <c r="C54" s="332"/>
      <c r="D54" s="332"/>
      <c r="E54" s="332"/>
      <c r="F54" s="332"/>
    </row>
    <row r="55" spans="1:6" s="61" customFormat="1" ht="13.5" customHeight="1" x14ac:dyDescent="0.3">
      <c r="C55" s="285"/>
      <c r="D55" s="285"/>
      <c r="E55" s="285"/>
      <c r="F55" s="285"/>
    </row>
    <row r="56" spans="1:6" x14ac:dyDescent="0.3">
      <c r="A56" t="s">
        <v>210</v>
      </c>
    </row>
    <row r="57" spans="1:6" x14ac:dyDescent="0.3">
      <c r="A57" t="s">
        <v>211</v>
      </c>
    </row>
    <row r="59" spans="1:6" s="112" customFormat="1" x14ac:dyDescent="0.3">
      <c r="A59" s="112" t="s">
        <v>749</v>
      </c>
    </row>
    <row r="60" spans="1:6" s="112" customFormat="1" x14ac:dyDescent="0.3">
      <c r="A60" s="112" t="s">
        <v>212</v>
      </c>
    </row>
    <row r="61" spans="1:6" ht="6" customHeight="1" x14ac:dyDescent="0.3"/>
    <row r="62" spans="1:6" x14ac:dyDescent="0.3">
      <c r="A62" s="112" t="s">
        <v>750</v>
      </c>
    </row>
    <row r="63" spans="1:6" x14ac:dyDescent="0.3">
      <c r="A63" s="112" t="s">
        <v>213</v>
      </c>
    </row>
    <row r="65" spans="1:3" x14ac:dyDescent="0.3">
      <c r="A65" s="108" t="s">
        <v>214</v>
      </c>
    </row>
    <row r="66" spans="1:3" x14ac:dyDescent="0.3">
      <c r="A66" t="s">
        <v>215</v>
      </c>
    </row>
    <row r="67" spans="1:3" x14ac:dyDescent="0.3">
      <c r="A67" t="s">
        <v>216</v>
      </c>
    </row>
    <row r="68" spans="1:3" x14ac:dyDescent="0.3">
      <c r="A68" t="s">
        <v>217</v>
      </c>
    </row>
    <row r="69" spans="1:3" x14ac:dyDescent="0.3">
      <c r="A69" t="s">
        <v>218</v>
      </c>
    </row>
    <row r="70" spans="1:3" x14ac:dyDescent="0.3">
      <c r="A70" t="s">
        <v>836</v>
      </c>
    </row>
    <row r="71" spans="1:3" s="307" customFormat="1" x14ac:dyDescent="0.3">
      <c r="A71" s="307" t="s">
        <v>835</v>
      </c>
    </row>
    <row r="72" spans="1:3" x14ac:dyDescent="0.3">
      <c r="A72" t="s">
        <v>945</v>
      </c>
    </row>
    <row r="73" spans="1:3" s="61" customFormat="1" x14ac:dyDescent="0.3">
      <c r="B73" s="115" t="s">
        <v>219</v>
      </c>
      <c r="C73" s="115" t="s">
        <v>61</v>
      </c>
    </row>
    <row r="74" spans="1:3" x14ac:dyDescent="0.3">
      <c r="B74">
        <v>2025</v>
      </c>
      <c r="C74" s="78">
        <f>'Contributions &amp; Covered Payroll'!V25</f>
        <v>55021.740000000005</v>
      </c>
    </row>
    <row r="75" spans="1:3" x14ac:dyDescent="0.3">
      <c r="B75">
        <v>2024</v>
      </c>
      <c r="C75" s="78">
        <f>'Contributions &amp; Covered Payroll'!T25</f>
        <v>54869.479999999996</v>
      </c>
    </row>
    <row r="76" spans="1:3" x14ac:dyDescent="0.3">
      <c r="B76">
        <v>2023</v>
      </c>
      <c r="C76" s="78">
        <f>'Contributions &amp; Covered Payroll'!R25</f>
        <v>57870.039999999994</v>
      </c>
    </row>
    <row r="78" spans="1:3" x14ac:dyDescent="0.3">
      <c r="A78" s="112" t="s">
        <v>239</v>
      </c>
    </row>
    <row r="80" spans="1:3" x14ac:dyDescent="0.3">
      <c r="A80" s="112" t="s">
        <v>751</v>
      </c>
    </row>
    <row r="81" spans="1:7" x14ac:dyDescent="0.3">
      <c r="A81" s="112" t="s">
        <v>752</v>
      </c>
    </row>
    <row r="82" spans="1:7" x14ac:dyDescent="0.3">
      <c r="A82" s="112" t="s">
        <v>220</v>
      </c>
    </row>
    <row r="84" spans="1:7" x14ac:dyDescent="0.3">
      <c r="A84" s="108" t="s">
        <v>764</v>
      </c>
    </row>
    <row r="85" spans="1:7" x14ac:dyDescent="0.3">
      <c r="A85" s="108" t="s">
        <v>240</v>
      </c>
    </row>
    <row r="86" spans="1:7" x14ac:dyDescent="0.3">
      <c r="A86" t="s">
        <v>946</v>
      </c>
    </row>
    <row r="87" spans="1:7" x14ac:dyDescent="0.3">
      <c r="A87" t="s">
        <v>792</v>
      </c>
    </row>
    <row r="88" spans="1:7" x14ac:dyDescent="0.3">
      <c r="A88" t="s">
        <v>947</v>
      </c>
    </row>
    <row r="89" spans="1:7" x14ac:dyDescent="0.3">
      <c r="A89" t="s">
        <v>959</v>
      </c>
    </row>
    <row r="90" spans="1:7" s="61" customFormat="1" x14ac:dyDescent="0.3"/>
    <row r="91" spans="1:7" x14ac:dyDescent="0.3">
      <c r="B91" s="61" t="s">
        <v>744</v>
      </c>
      <c r="F91" s="78">
        <f>15263012420*Calculations!H27</f>
        <v>4657660.8700871998</v>
      </c>
      <c r="G91" s="135"/>
    </row>
    <row r="92" spans="1:7" x14ac:dyDescent="0.3">
      <c r="F92" s="79"/>
      <c r="G92" s="136"/>
    </row>
    <row r="93" spans="1:7" x14ac:dyDescent="0.3">
      <c r="B93" t="s">
        <v>745</v>
      </c>
      <c r="F93" s="117">
        <f>15271517603*Calculations!H27</f>
        <v>4660256.3117314801</v>
      </c>
      <c r="G93" s="135"/>
    </row>
    <row r="94" spans="1:7" x14ac:dyDescent="0.3">
      <c r="F94" s="79"/>
      <c r="G94" s="136"/>
    </row>
    <row r="95" spans="1:7" ht="15" thickBot="1" x14ac:dyDescent="0.35">
      <c r="B95" s="61" t="s">
        <v>221</v>
      </c>
      <c r="F95" s="118">
        <f>-8505183*Calculations!H27</f>
        <v>-2595.4416442800002</v>
      </c>
      <c r="G95" s="135"/>
    </row>
    <row r="96" spans="1:7" ht="15" thickTop="1" x14ac:dyDescent="0.3">
      <c r="G96" s="88"/>
    </row>
    <row r="97" spans="1:7" x14ac:dyDescent="0.3">
      <c r="A97" s="415" t="s">
        <v>948</v>
      </c>
      <c r="B97" s="415"/>
      <c r="C97" s="415"/>
      <c r="D97" s="415"/>
      <c r="E97" s="415"/>
      <c r="F97" s="120">
        <f>F95</f>
        <v>-2595.4416442800002</v>
      </c>
      <c r="G97" s="116"/>
    </row>
    <row r="98" spans="1:7" x14ac:dyDescent="0.3">
      <c r="A98" t="s">
        <v>746</v>
      </c>
    </row>
    <row r="99" spans="1:7" x14ac:dyDescent="0.3">
      <c r="A99" t="s">
        <v>949</v>
      </c>
    </row>
    <row r="100" spans="1:7" x14ac:dyDescent="0.3">
      <c r="A100" t="s">
        <v>747</v>
      </c>
    </row>
    <row r="101" spans="1:7" x14ac:dyDescent="0.3">
      <c r="A101" t="s">
        <v>950</v>
      </c>
    </row>
    <row r="102" spans="1:7" x14ac:dyDescent="0.3">
      <c r="A102" t="s">
        <v>748</v>
      </c>
      <c r="D102" s="358">
        <f>Calculations!H27</f>
        <v>3.0516000000000001E-4</v>
      </c>
      <c r="E102" t="s">
        <v>222</v>
      </c>
    </row>
    <row r="103" spans="1:7" x14ac:dyDescent="0.3">
      <c r="A103" s="358">
        <f>ROUND(Calculations!H27-Calculations!H26,10)</f>
        <v>-2.3139999999999999E-5</v>
      </c>
      <c r="B103" t="s">
        <v>951</v>
      </c>
    </row>
    <row r="104" spans="1:7" ht="9" customHeight="1" x14ac:dyDescent="0.3"/>
    <row r="105" spans="1:7" x14ac:dyDescent="0.3">
      <c r="A105" s="112" t="s">
        <v>224</v>
      </c>
    </row>
    <row r="106" spans="1:7" x14ac:dyDescent="0.3">
      <c r="A106" s="112" t="s">
        <v>753</v>
      </c>
    </row>
    <row r="107" spans="1:7" x14ac:dyDescent="0.3">
      <c r="A107" s="112" t="s">
        <v>223</v>
      </c>
    </row>
    <row r="108" spans="1:7" ht="8.25" customHeight="1" x14ac:dyDescent="0.3"/>
    <row r="109" spans="1:7" x14ac:dyDescent="0.3">
      <c r="A109" s="112" t="s">
        <v>241</v>
      </c>
    </row>
    <row r="110" spans="1:7" x14ac:dyDescent="0.3">
      <c r="A110" s="112" t="s">
        <v>225</v>
      </c>
    </row>
    <row r="111" spans="1:7" x14ac:dyDescent="0.3">
      <c r="A111" s="112" t="s">
        <v>754</v>
      </c>
    </row>
    <row r="112" spans="1:7" x14ac:dyDescent="0.3">
      <c r="A112" s="112" t="s">
        <v>226</v>
      </c>
    </row>
    <row r="114" spans="1:6" x14ac:dyDescent="0.3">
      <c r="A114" s="119" t="s">
        <v>952</v>
      </c>
    </row>
    <row r="115" spans="1:6" x14ac:dyDescent="0.3">
      <c r="A115" s="201" t="s">
        <v>755</v>
      </c>
      <c r="B115" s="120">
        <f>'Statement of Activities Wrkst'!M123</f>
        <v>-49681.613795294543</v>
      </c>
      <c r="C115" s="61" t="s">
        <v>953</v>
      </c>
    </row>
    <row r="116" spans="1:6" x14ac:dyDescent="0.3">
      <c r="A116" t="s">
        <v>756</v>
      </c>
    </row>
    <row r="118" spans="1:6" x14ac:dyDescent="0.3">
      <c r="E118" s="114" t="s">
        <v>227</v>
      </c>
      <c r="F118" s="114" t="s">
        <v>229</v>
      </c>
    </row>
    <row r="119" spans="1:6" x14ac:dyDescent="0.3">
      <c r="E119" s="121" t="s">
        <v>228</v>
      </c>
      <c r="F119" s="121" t="s">
        <v>228</v>
      </c>
    </row>
    <row r="120" spans="1:6" x14ac:dyDescent="0.3">
      <c r="A120" t="s">
        <v>230</v>
      </c>
    </row>
    <row r="121" spans="1:6" x14ac:dyDescent="0.3">
      <c r="A121" t="s">
        <v>231</v>
      </c>
      <c r="E121" s="78">
        <f>291192103*Calculations!H27</f>
        <v>88860.18215148001</v>
      </c>
      <c r="F121" s="78"/>
    </row>
    <row r="122" spans="1:6" x14ac:dyDescent="0.3">
      <c r="E122" s="79"/>
      <c r="F122" s="79"/>
    </row>
    <row r="123" spans="1:6" x14ac:dyDescent="0.3">
      <c r="A123" t="s">
        <v>232</v>
      </c>
      <c r="E123" s="78"/>
      <c r="F123" s="78">
        <f>451462251*Calculations!H27</f>
        <v>137768.22051516001</v>
      </c>
    </row>
    <row r="124" spans="1:6" x14ac:dyDescent="0.3">
      <c r="E124" s="79"/>
      <c r="F124" s="79"/>
    </row>
    <row r="125" spans="1:6" x14ac:dyDescent="0.3">
      <c r="A125" t="s">
        <v>238</v>
      </c>
      <c r="E125" s="78">
        <f>414396201*Calculations!H27</f>
        <v>126457.14469716001</v>
      </c>
      <c r="F125" s="78"/>
    </row>
    <row r="126" spans="1:6" x14ac:dyDescent="0.3">
      <c r="A126" t="s">
        <v>233</v>
      </c>
      <c r="E126" s="78"/>
      <c r="F126" s="78"/>
    </row>
    <row r="127" spans="1:6" x14ac:dyDescent="0.3">
      <c r="E127" s="79"/>
      <c r="F127" s="79"/>
    </row>
    <row r="128" spans="1:6" x14ac:dyDescent="0.3">
      <c r="A128" t="s">
        <v>234</v>
      </c>
      <c r="E128" s="79"/>
      <c r="F128" s="79"/>
    </row>
    <row r="129" spans="1:7" x14ac:dyDescent="0.3">
      <c r="A129" t="s">
        <v>763</v>
      </c>
      <c r="E129" s="79"/>
      <c r="F129" s="79"/>
    </row>
    <row r="130" spans="1:7" x14ac:dyDescent="0.3">
      <c r="A130" t="s">
        <v>158</v>
      </c>
      <c r="E130" s="120">
        <f>'Change in Proportionate Share'!N41</f>
        <v>9948.9926486799777</v>
      </c>
      <c r="F130" s="120">
        <f>-'Change in Proportionate Share'!N62</f>
        <v>384.25999999999976</v>
      </c>
    </row>
    <row r="131" spans="1:7" x14ac:dyDescent="0.3">
      <c r="E131" s="79"/>
      <c r="F131" s="79"/>
    </row>
    <row r="132" spans="1:7" x14ac:dyDescent="0.3">
      <c r="A132" t="s">
        <v>765</v>
      </c>
      <c r="E132" s="79"/>
      <c r="F132" s="79"/>
    </row>
    <row r="133" spans="1:7" x14ac:dyDescent="0.3">
      <c r="A133" t="s">
        <v>235</v>
      </c>
      <c r="E133" s="124">
        <f>Calculations!H202</f>
        <v>27783.24</v>
      </c>
      <c r="F133" s="125"/>
    </row>
    <row r="134" spans="1:7" x14ac:dyDescent="0.3">
      <c r="E134" s="79"/>
      <c r="F134" s="79"/>
    </row>
    <row r="135" spans="1:7" ht="15" thickBot="1" x14ac:dyDescent="0.35">
      <c r="D135" s="61" t="s">
        <v>236</v>
      </c>
      <c r="E135" s="126">
        <f>SUM(E121:E133)</f>
        <v>253049.55949731998</v>
      </c>
      <c r="F135" s="118">
        <f>SUM(F121:F133)</f>
        <v>138152.48051516002</v>
      </c>
      <c r="G135" s="233" t="s">
        <v>246</v>
      </c>
    </row>
    <row r="136" spans="1:7" ht="8.25" customHeight="1" thickTop="1" x14ac:dyDescent="0.3"/>
    <row r="137" spans="1:7" x14ac:dyDescent="0.3">
      <c r="A137" s="112" t="s">
        <v>252</v>
      </c>
    </row>
    <row r="138" spans="1:7" x14ac:dyDescent="0.3">
      <c r="A138" s="112" t="s">
        <v>237</v>
      </c>
    </row>
    <row r="139" spans="1:7" ht="8.25" customHeight="1" x14ac:dyDescent="0.3"/>
    <row r="140" spans="1:7" x14ac:dyDescent="0.3">
      <c r="A140" s="120">
        <f>E133</f>
        <v>27783.24</v>
      </c>
      <c r="B140" t="s">
        <v>757</v>
      </c>
    </row>
    <row r="141" spans="1:7" x14ac:dyDescent="0.3">
      <c r="A141" t="s">
        <v>758</v>
      </c>
    </row>
    <row r="142" spans="1:7" x14ac:dyDescent="0.3">
      <c r="A142" t="s">
        <v>954</v>
      </c>
    </row>
    <row r="143" spans="1:7" x14ac:dyDescent="0.3">
      <c r="A143" t="s">
        <v>242</v>
      </c>
    </row>
    <row r="144" spans="1:7" x14ac:dyDescent="0.3">
      <c r="A144" t="s">
        <v>759</v>
      </c>
    </row>
    <row r="145" spans="1:10" ht="9.75" customHeight="1" x14ac:dyDescent="0.3"/>
    <row r="146" spans="1:10" x14ac:dyDescent="0.3">
      <c r="B146" t="s">
        <v>243</v>
      </c>
    </row>
    <row r="147" spans="1:10" x14ac:dyDescent="0.3">
      <c r="A147" s="122" t="s">
        <v>244</v>
      </c>
      <c r="B147" s="241" t="s">
        <v>781</v>
      </c>
    </row>
    <row r="148" spans="1:10" ht="6.75" customHeight="1" x14ac:dyDescent="0.3"/>
    <row r="149" spans="1:10" x14ac:dyDescent="0.3">
      <c r="B149" s="61">
        <v>2026</v>
      </c>
      <c r="C149" s="113">
        <f>196500617*Calculations!H27+'Change in Proportionate Share'!O39+'Change in Proportionate Share'!O60</f>
        <v>64292.378283720005</v>
      </c>
    </row>
    <row r="150" spans="1:10" x14ac:dyDescent="0.3">
      <c r="B150" s="61">
        <v>2027</v>
      </c>
      <c r="C150" s="113">
        <f>21318146*Calculations!H27+'Change in Proportionate Share'!P39+'Change in Proportionate Share'!P60</f>
        <v>10313.465433360001</v>
      </c>
    </row>
    <row r="151" spans="1:10" x14ac:dyDescent="0.3">
      <c r="B151" s="61">
        <v>2028</v>
      </c>
      <c r="C151" s="113">
        <f>13594184*Calculations!H27+'Change in Proportionate Share'!Q39+'Change in Proportionate Share'!Q60</f>
        <v>5437.0511894400006</v>
      </c>
    </row>
    <row r="152" spans="1:10" x14ac:dyDescent="0.3">
      <c r="B152" s="61">
        <v>2029</v>
      </c>
      <c r="C152" s="113">
        <f>22713106*Calculations!H27+'Change in Proportionate Share'!R39+'Change in Proportionate Share'!R60</f>
        <v>7070.9440756399799</v>
      </c>
      <c r="J152" s="68"/>
    </row>
    <row r="153" spans="1:10" x14ac:dyDescent="0.3">
      <c r="B153">
        <v>2030</v>
      </c>
      <c r="C153" s="113">
        <f>'Change in Proportionate Share'!S39+'Change in Proportionate Share'!S60</f>
        <v>0</v>
      </c>
    </row>
    <row r="154" spans="1:10" x14ac:dyDescent="0.3">
      <c r="B154" t="s">
        <v>245</v>
      </c>
      <c r="C154" s="113">
        <f>'Change in Proportionate Share'!S39+'Change in Proportionate Share'!S60</f>
        <v>0</v>
      </c>
    </row>
    <row r="155" spans="1:10" ht="6" customHeight="1" x14ac:dyDescent="0.3">
      <c r="C155" s="79"/>
    </row>
    <row r="156" spans="1:10" ht="15" thickBot="1" x14ac:dyDescent="0.35">
      <c r="B156" s="123" t="s">
        <v>236</v>
      </c>
      <c r="C156" s="127">
        <f>SUM(C149:C155)</f>
        <v>87113.838982159985</v>
      </c>
      <c r="D156" s="233" t="s">
        <v>246</v>
      </c>
    </row>
    <row r="157" spans="1:10" ht="15" thickTop="1" x14ac:dyDescent="0.3"/>
    <row r="158" spans="1:10" x14ac:dyDescent="0.3">
      <c r="A158" s="108" t="s">
        <v>247</v>
      </c>
    </row>
    <row r="159" spans="1:10" x14ac:dyDescent="0.3">
      <c r="A159" t="s">
        <v>955</v>
      </c>
    </row>
    <row r="160" spans="1:10" x14ac:dyDescent="0.3">
      <c r="A160" t="s">
        <v>248</v>
      </c>
    </row>
    <row r="161" spans="1:6" ht="6.75" customHeight="1" x14ac:dyDescent="0.3"/>
    <row r="162" spans="1:6" x14ac:dyDescent="0.3">
      <c r="A162" s="128"/>
      <c r="B162" s="123" t="s">
        <v>249</v>
      </c>
      <c r="C162" s="312" t="s">
        <v>860</v>
      </c>
    </row>
    <row r="163" spans="1:6" s="61" customFormat="1" ht="6.75" customHeight="1" x14ac:dyDescent="0.3">
      <c r="A163" s="123"/>
      <c r="B163" s="123"/>
      <c r="C163" s="111"/>
    </row>
    <row r="164" spans="1:6" x14ac:dyDescent="0.3">
      <c r="A164" s="128"/>
      <c r="B164" s="123" t="s">
        <v>250</v>
      </c>
      <c r="C164" s="128" t="s">
        <v>861</v>
      </c>
    </row>
    <row r="165" spans="1:6" s="61" customFormat="1" ht="9" customHeight="1" x14ac:dyDescent="0.3">
      <c r="A165" s="123"/>
      <c r="B165" s="123"/>
    </row>
    <row r="166" spans="1:6" ht="31.5" customHeight="1" x14ac:dyDescent="0.3">
      <c r="A166" s="129"/>
      <c r="B166" s="326" t="s">
        <v>793</v>
      </c>
      <c r="C166" s="418" t="s">
        <v>862</v>
      </c>
      <c r="D166" s="418"/>
      <c r="E166" s="418"/>
      <c r="F166" s="418"/>
    </row>
    <row r="167" spans="1:6" s="309" customFormat="1" ht="6.75" customHeight="1" x14ac:dyDescent="0.3">
      <c r="A167" s="129"/>
      <c r="B167" s="130"/>
    </row>
    <row r="168" spans="1:6" s="309" customFormat="1" x14ac:dyDescent="0.3">
      <c r="A168" s="129"/>
      <c r="B168" s="310" t="s">
        <v>840</v>
      </c>
      <c r="C168" s="311" t="s">
        <v>956</v>
      </c>
    </row>
    <row r="169" spans="1:6" x14ac:dyDescent="0.3">
      <c r="A169" s="414"/>
      <c r="B169" s="414"/>
      <c r="C169" s="61"/>
    </row>
    <row r="170" spans="1:6" s="333" customFormat="1" x14ac:dyDescent="0.3">
      <c r="A170" s="332" t="s">
        <v>863</v>
      </c>
      <c r="B170" s="331"/>
    </row>
    <row r="171" spans="1:6" s="333" customFormat="1" x14ac:dyDescent="0.3">
      <c r="A171" s="331"/>
      <c r="B171" s="332" t="s">
        <v>864</v>
      </c>
    </row>
    <row r="172" spans="1:6" s="333" customFormat="1" x14ac:dyDescent="0.3">
      <c r="A172" s="331"/>
      <c r="B172" s="332" t="s">
        <v>865</v>
      </c>
    </row>
    <row r="173" spans="1:6" s="333" customFormat="1" x14ac:dyDescent="0.3">
      <c r="A173" s="331"/>
      <c r="B173" s="332" t="s">
        <v>866</v>
      </c>
    </row>
    <row r="174" spans="1:6" s="333" customFormat="1" x14ac:dyDescent="0.3">
      <c r="A174" s="331"/>
      <c r="B174" s="332" t="s">
        <v>867</v>
      </c>
    </row>
    <row r="175" spans="1:6" s="333" customFormat="1" x14ac:dyDescent="0.3">
      <c r="A175" s="331"/>
      <c r="B175" s="332" t="s">
        <v>868</v>
      </c>
    </row>
    <row r="176" spans="1:6" s="333" customFormat="1" x14ac:dyDescent="0.3">
      <c r="A176" s="331"/>
      <c r="B176" s="332" t="s">
        <v>869</v>
      </c>
    </row>
    <row r="177" spans="1:2" s="333" customFormat="1" x14ac:dyDescent="0.3">
      <c r="A177" s="331"/>
      <c r="B177" s="332" t="s">
        <v>870</v>
      </c>
    </row>
    <row r="178" spans="1:2" s="333" customFormat="1" x14ac:dyDescent="0.3">
      <c r="A178" s="331"/>
      <c r="B178" s="332" t="s">
        <v>871</v>
      </c>
    </row>
    <row r="179" spans="1:2" s="333" customFormat="1" x14ac:dyDescent="0.3">
      <c r="A179" s="331"/>
      <c r="B179" s="332" t="s">
        <v>880</v>
      </c>
    </row>
    <row r="180" spans="1:2" s="333" customFormat="1" x14ac:dyDescent="0.3">
      <c r="A180" s="331"/>
      <c r="B180" s="332" t="s">
        <v>872</v>
      </c>
    </row>
    <row r="181" spans="1:2" s="333" customFormat="1" x14ac:dyDescent="0.3">
      <c r="A181" s="331"/>
      <c r="B181" s="332" t="s">
        <v>873</v>
      </c>
    </row>
    <row r="182" spans="1:2" s="333" customFormat="1" x14ac:dyDescent="0.3">
      <c r="A182" s="331"/>
      <c r="B182" s="332" t="s">
        <v>874</v>
      </c>
    </row>
    <row r="183" spans="1:2" s="333" customFormat="1" x14ac:dyDescent="0.3">
      <c r="A183" s="331"/>
      <c r="B183" s="332" t="s">
        <v>875</v>
      </c>
    </row>
    <row r="184" spans="1:2" s="333" customFormat="1" x14ac:dyDescent="0.3">
      <c r="A184" s="331"/>
      <c r="B184" s="332" t="s">
        <v>876</v>
      </c>
    </row>
    <row r="185" spans="1:2" s="333" customFormat="1" x14ac:dyDescent="0.3">
      <c r="A185" s="331"/>
      <c r="B185" s="332" t="s">
        <v>877</v>
      </c>
    </row>
    <row r="186" spans="1:2" s="333" customFormat="1" x14ac:dyDescent="0.3">
      <c r="A186" s="331"/>
      <c r="B186" s="332" t="s">
        <v>879</v>
      </c>
    </row>
    <row r="187" spans="1:2" s="333" customFormat="1" x14ac:dyDescent="0.3">
      <c r="A187" s="331"/>
      <c r="B187" s="331" t="s">
        <v>878</v>
      </c>
    </row>
    <row r="188" spans="1:2" s="73" customFormat="1" x14ac:dyDescent="0.3">
      <c r="A188" s="73" t="s">
        <v>957</v>
      </c>
    </row>
    <row r="189" spans="1:2" s="73" customFormat="1" x14ac:dyDescent="0.3">
      <c r="A189" s="73" t="s">
        <v>899</v>
      </c>
    </row>
    <row r="190" spans="1:2" s="73" customFormat="1" x14ac:dyDescent="0.3"/>
    <row r="191" spans="1:2" x14ac:dyDescent="0.3">
      <c r="A191" s="112" t="s">
        <v>761</v>
      </c>
    </row>
    <row r="192" spans="1:2" x14ac:dyDescent="0.3">
      <c r="A192" s="112" t="s">
        <v>760</v>
      </c>
    </row>
    <row r="193" spans="1:1" x14ac:dyDescent="0.3">
      <c r="A193" s="112" t="s">
        <v>251</v>
      </c>
    </row>
    <row r="195" spans="1:1" x14ac:dyDescent="0.3">
      <c r="A195" s="119" t="s">
        <v>253</v>
      </c>
    </row>
    <row r="196" spans="1:1" x14ac:dyDescent="0.3">
      <c r="A196" s="119" t="s">
        <v>254</v>
      </c>
    </row>
    <row r="197" spans="1:1" x14ac:dyDescent="0.3">
      <c r="A197" s="119" t="s">
        <v>255</v>
      </c>
    </row>
    <row r="198" spans="1:1" x14ac:dyDescent="0.3">
      <c r="A198" s="119" t="s">
        <v>256</v>
      </c>
    </row>
    <row r="199" spans="1:1" x14ac:dyDescent="0.3">
      <c r="A199" s="119" t="s">
        <v>257</v>
      </c>
    </row>
    <row r="200" spans="1:1" x14ac:dyDescent="0.3">
      <c r="A200" s="119" t="s">
        <v>258</v>
      </c>
    </row>
    <row r="201" spans="1:1" x14ac:dyDescent="0.3">
      <c r="A201" s="119" t="s">
        <v>259</v>
      </c>
    </row>
    <row r="202" spans="1:1" x14ac:dyDescent="0.3">
      <c r="A202" s="119" t="s">
        <v>260</v>
      </c>
    </row>
    <row r="203" spans="1:1" x14ac:dyDescent="0.3">
      <c r="A203" s="119" t="s">
        <v>261</v>
      </c>
    </row>
    <row r="204" spans="1:1" x14ac:dyDescent="0.3">
      <c r="A204" s="119" t="s">
        <v>262</v>
      </c>
    </row>
    <row r="205" spans="1:1" x14ac:dyDescent="0.3">
      <c r="A205" s="119" t="s">
        <v>263</v>
      </c>
    </row>
    <row r="206" spans="1:1" x14ac:dyDescent="0.3">
      <c r="A206" s="119" t="s">
        <v>264</v>
      </c>
    </row>
    <row r="207" spans="1:1" x14ac:dyDescent="0.3">
      <c r="A207" s="119" t="s">
        <v>958</v>
      </c>
    </row>
    <row r="208" spans="1:1" x14ac:dyDescent="0.3">
      <c r="A208" s="119" t="s">
        <v>265</v>
      </c>
    </row>
    <row r="209" spans="1:6" ht="8.25" customHeight="1" x14ac:dyDescent="0.3"/>
    <row r="210" spans="1:6" s="61" customFormat="1" x14ac:dyDescent="0.3">
      <c r="D210" s="114" t="s">
        <v>267</v>
      </c>
      <c r="E210" s="114" t="s">
        <v>268</v>
      </c>
      <c r="F210" s="114"/>
    </row>
    <row r="211" spans="1:6" x14ac:dyDescent="0.3">
      <c r="B211" s="131" t="s">
        <v>266</v>
      </c>
      <c r="C211" s="131"/>
      <c r="D211" s="121" t="s">
        <v>16</v>
      </c>
      <c r="E211" s="121" t="s">
        <v>269</v>
      </c>
      <c r="F211" s="121"/>
    </row>
    <row r="212" spans="1:6" ht="7.5" customHeight="1" x14ac:dyDescent="0.3">
      <c r="E212" s="61"/>
    </row>
    <row r="213" spans="1:6" x14ac:dyDescent="0.3">
      <c r="B213" t="s">
        <v>889</v>
      </c>
      <c r="D213" s="132">
        <v>0.56299999999999994</v>
      </c>
      <c r="E213" s="132">
        <v>3.7999999999999999E-2</v>
      </c>
      <c r="F213" s="132"/>
    </row>
    <row r="214" spans="1:6" s="338" customFormat="1" x14ac:dyDescent="0.3">
      <c r="B214" s="338" t="s">
        <v>890</v>
      </c>
      <c r="D214" s="132">
        <v>0.22800000000000001</v>
      </c>
      <c r="E214" s="132">
        <v>2.3E-2</v>
      </c>
      <c r="F214" s="132"/>
    </row>
    <row r="215" spans="1:6" x14ac:dyDescent="0.3">
      <c r="B215" t="s">
        <v>891</v>
      </c>
      <c r="D215" s="132">
        <v>7.0000000000000007E-2</v>
      </c>
      <c r="E215" s="132">
        <v>2.9000000000000001E-2</v>
      </c>
      <c r="F215" s="132"/>
    </row>
    <row r="216" spans="1:6" x14ac:dyDescent="0.3">
      <c r="B216" t="s">
        <v>270</v>
      </c>
      <c r="D216" s="132">
        <v>0.12</v>
      </c>
      <c r="E216" s="132">
        <v>0.04</v>
      </c>
      <c r="F216" s="132"/>
    </row>
    <row r="217" spans="1:6" x14ac:dyDescent="0.3">
      <c r="B217" t="s">
        <v>271</v>
      </c>
      <c r="D217" s="132">
        <v>1.9E-2</v>
      </c>
      <c r="E217" s="342">
        <v>8.0000000000000002E-3</v>
      </c>
      <c r="F217" s="132"/>
    </row>
    <row r="218" spans="1:6" ht="15" thickBot="1" x14ac:dyDescent="0.35">
      <c r="C218" t="s">
        <v>272</v>
      </c>
      <c r="D218" s="133">
        <v>1</v>
      </c>
      <c r="E218" s="343"/>
    </row>
    <row r="219" spans="1:6" ht="15" thickTop="1" x14ac:dyDescent="0.3"/>
    <row r="220" spans="1:6" x14ac:dyDescent="0.3">
      <c r="A220" s="108" t="s">
        <v>273</v>
      </c>
    </row>
    <row r="221" spans="1:6" x14ac:dyDescent="0.3">
      <c r="A221" t="s">
        <v>794</v>
      </c>
    </row>
    <row r="222" spans="1:6" x14ac:dyDescent="0.3">
      <c r="A222" t="s">
        <v>795</v>
      </c>
    </row>
    <row r="223" spans="1:6" x14ac:dyDescent="0.3">
      <c r="A223" t="s">
        <v>274</v>
      </c>
    </row>
    <row r="224" spans="1:6" x14ac:dyDescent="0.3">
      <c r="A224" t="s">
        <v>288</v>
      </c>
    </row>
    <row r="225" spans="1:1" x14ac:dyDescent="0.3">
      <c r="A225" t="s">
        <v>275</v>
      </c>
    </row>
    <row r="226" spans="1:1" x14ac:dyDescent="0.3">
      <c r="A226" t="s">
        <v>276</v>
      </c>
    </row>
    <row r="227" spans="1:1" x14ac:dyDescent="0.3">
      <c r="A227" t="s">
        <v>277</v>
      </c>
    </row>
    <row r="228" spans="1:1" x14ac:dyDescent="0.3">
      <c r="A228" t="s">
        <v>280</v>
      </c>
    </row>
    <row r="229" spans="1:1" s="61" customFormat="1" x14ac:dyDescent="0.3"/>
    <row r="230" spans="1:1" x14ac:dyDescent="0.3">
      <c r="A230" s="112" t="s">
        <v>279</v>
      </c>
    </row>
    <row r="231" spans="1:1" x14ac:dyDescent="0.3">
      <c r="A231" s="112" t="s">
        <v>766</v>
      </c>
    </row>
    <row r="232" spans="1:1" x14ac:dyDescent="0.3">
      <c r="A232" s="112" t="s">
        <v>278</v>
      </c>
    </row>
    <row r="234" spans="1:1" x14ac:dyDescent="0.3">
      <c r="A234" s="108" t="s">
        <v>281</v>
      </c>
    </row>
    <row r="235" spans="1:1" x14ac:dyDescent="0.3">
      <c r="A235" s="119" t="s">
        <v>767</v>
      </c>
    </row>
    <row r="236" spans="1:1" x14ac:dyDescent="0.3">
      <c r="A236" s="119" t="s">
        <v>798</v>
      </c>
    </row>
    <row r="237" spans="1:1" x14ac:dyDescent="0.3">
      <c r="A237" s="119" t="s">
        <v>799</v>
      </c>
    </row>
    <row r="238" spans="1:1" x14ac:dyDescent="0.3">
      <c r="A238" s="119" t="s">
        <v>796</v>
      </c>
    </row>
    <row r="239" spans="1:1" x14ac:dyDescent="0.3">
      <c r="A239" s="119" t="s">
        <v>797</v>
      </c>
    </row>
    <row r="240" spans="1:1" ht="9" customHeight="1" x14ac:dyDescent="0.3"/>
    <row r="241" spans="1:6" x14ac:dyDescent="0.3">
      <c r="D241" s="114"/>
      <c r="E241" s="114" t="s">
        <v>283</v>
      </c>
      <c r="F241" s="114"/>
    </row>
    <row r="242" spans="1:6" x14ac:dyDescent="0.3">
      <c r="D242" s="134">
        <v>0.01</v>
      </c>
      <c r="E242" s="114" t="s">
        <v>284</v>
      </c>
      <c r="F242" s="134">
        <v>0.01</v>
      </c>
    </row>
    <row r="243" spans="1:6" x14ac:dyDescent="0.3">
      <c r="D243" s="121" t="s">
        <v>286</v>
      </c>
      <c r="E243" s="121" t="s">
        <v>285</v>
      </c>
      <c r="F243" s="121" t="s">
        <v>287</v>
      </c>
    </row>
    <row r="244" spans="1:6" x14ac:dyDescent="0.3">
      <c r="A244" s="61" t="s">
        <v>768</v>
      </c>
      <c r="B244" s="61"/>
      <c r="C244" s="61"/>
    </row>
    <row r="245" spans="1:6" x14ac:dyDescent="0.3">
      <c r="A245" s="61" t="s">
        <v>282</v>
      </c>
      <c r="B245" s="61"/>
      <c r="C245" s="61"/>
      <c r="D245" s="78">
        <f>2084431536*Calculations!H27</f>
        <v>636085.12752575998</v>
      </c>
      <c r="E245" s="78">
        <f>-8505183*Calculations!H27</f>
        <v>-2595.4416442800002</v>
      </c>
      <c r="F245" s="78">
        <f>-1723120453*Calculations!H27</f>
        <v>-525827.43743747997</v>
      </c>
    </row>
    <row r="246" spans="1:6" x14ac:dyDescent="0.3">
      <c r="A246" s="61"/>
      <c r="D246" s="79"/>
      <c r="E246" s="79"/>
      <c r="F246" s="79"/>
    </row>
    <row r="247" spans="1:6" x14ac:dyDescent="0.3">
      <c r="A247" s="108" t="s">
        <v>289</v>
      </c>
    </row>
    <row r="248" spans="1:6" x14ac:dyDescent="0.3">
      <c r="A248" t="s">
        <v>290</v>
      </c>
    </row>
    <row r="249" spans="1:6" x14ac:dyDescent="0.3">
      <c r="A249" t="s">
        <v>291</v>
      </c>
    </row>
    <row r="250" spans="1:6" ht="8.25" customHeight="1" x14ac:dyDescent="0.3"/>
    <row r="251" spans="1:6" x14ac:dyDescent="0.3">
      <c r="A251" s="112" t="s">
        <v>295</v>
      </c>
    </row>
    <row r="252" spans="1:6" x14ac:dyDescent="0.3">
      <c r="A252" s="112" t="s">
        <v>292</v>
      </c>
    </row>
    <row r="253" spans="1:6" x14ac:dyDescent="0.3">
      <c r="A253" s="112" t="s">
        <v>769</v>
      </c>
    </row>
    <row r="254" spans="1:6" x14ac:dyDescent="0.3">
      <c r="A254" s="112" t="s">
        <v>293</v>
      </c>
    </row>
    <row r="256" spans="1:6" x14ac:dyDescent="0.3">
      <c r="A256" s="108" t="s">
        <v>294</v>
      </c>
    </row>
    <row r="257" spans="1:1" x14ac:dyDescent="0.3">
      <c r="A257" s="112" t="s">
        <v>770</v>
      </c>
    </row>
    <row r="258" spans="1:1" x14ac:dyDescent="0.3">
      <c r="A258" s="112" t="s">
        <v>296</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topLeftCell="A5" zoomScaleNormal="100" workbookViewId="0">
      <selection activeCell="C17" sqref="C17"/>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20" t="s">
        <v>916</v>
      </c>
      <c r="B1" s="420"/>
      <c r="C1" s="420"/>
      <c r="D1" s="420"/>
      <c r="E1" s="420"/>
      <c r="F1" s="420"/>
      <c r="G1" s="420"/>
      <c r="H1" s="420"/>
      <c r="I1" s="420"/>
      <c r="J1" s="420"/>
      <c r="K1" s="420"/>
    </row>
    <row r="2" spans="1:12" s="102" customFormat="1" ht="15.6" x14ac:dyDescent="0.3">
      <c r="A2" s="420" t="s">
        <v>904</v>
      </c>
      <c r="B2" s="420"/>
      <c r="C2" s="420"/>
      <c r="D2" s="420"/>
      <c r="E2" s="420"/>
      <c r="F2" s="420"/>
      <c r="G2" s="420"/>
      <c r="H2" s="420"/>
      <c r="I2" s="420"/>
      <c r="J2" s="420"/>
      <c r="K2" s="420"/>
    </row>
    <row r="3" spans="1:12" ht="15.6" x14ac:dyDescent="0.3">
      <c r="A3" s="420" t="s">
        <v>900</v>
      </c>
      <c r="B3" s="420"/>
      <c r="C3" s="420"/>
      <c r="D3" s="420"/>
      <c r="E3" s="420"/>
      <c r="F3" s="420"/>
      <c r="G3" s="420"/>
      <c r="H3" s="420"/>
      <c r="I3" s="420"/>
      <c r="J3" s="420"/>
      <c r="K3" s="420"/>
    </row>
    <row r="4" spans="1:12" ht="15.6" x14ac:dyDescent="0.3">
      <c r="A4" s="420" t="s">
        <v>203</v>
      </c>
      <c r="B4" s="420"/>
      <c r="C4" s="420"/>
      <c r="D4" s="420"/>
      <c r="E4" s="420"/>
      <c r="F4" s="420"/>
      <c r="G4" s="420"/>
      <c r="H4" s="420"/>
      <c r="I4" s="420"/>
      <c r="J4" s="420"/>
      <c r="K4" s="420"/>
    </row>
    <row r="5" spans="1:12" x14ac:dyDescent="0.25">
      <c r="A5" s="347"/>
      <c r="B5" s="104"/>
      <c r="C5" s="104"/>
      <c r="D5" s="104"/>
      <c r="E5" s="104"/>
      <c r="F5" s="104"/>
      <c r="G5" s="104"/>
      <c r="H5" s="104"/>
      <c r="I5" s="104"/>
      <c r="J5" s="104"/>
      <c r="K5" s="104"/>
    </row>
    <row r="6" spans="1:12" x14ac:dyDescent="0.25">
      <c r="A6" s="421" t="s">
        <v>800</v>
      </c>
      <c r="B6" s="421"/>
      <c r="C6" s="421"/>
      <c r="D6" s="421"/>
      <c r="E6" s="421"/>
      <c r="F6" s="421"/>
      <c r="G6" s="421"/>
      <c r="H6" s="421"/>
      <c r="I6" s="421"/>
      <c r="J6" s="421"/>
      <c r="K6" s="421"/>
    </row>
    <row r="7" spans="1:12" x14ac:dyDescent="0.25">
      <c r="A7" s="347"/>
      <c r="B7" s="104"/>
      <c r="C7" s="104"/>
      <c r="D7" s="104"/>
      <c r="E7" s="104"/>
      <c r="F7" s="104"/>
      <c r="G7" s="104"/>
      <c r="H7" s="104"/>
      <c r="I7" s="104"/>
      <c r="J7" s="104"/>
      <c r="K7" s="104"/>
    </row>
    <row r="8" spans="1:12" s="105" customFormat="1" ht="96.6" x14ac:dyDescent="0.25">
      <c r="A8" s="355" t="s">
        <v>901</v>
      </c>
      <c r="B8" s="104"/>
      <c r="C8" s="355" t="s">
        <v>905</v>
      </c>
      <c r="D8" s="354"/>
      <c r="E8" s="355" t="s">
        <v>906</v>
      </c>
      <c r="F8" s="354"/>
      <c r="G8" s="355" t="s">
        <v>907</v>
      </c>
      <c r="H8" s="354"/>
      <c r="I8" s="355" t="s">
        <v>908</v>
      </c>
      <c r="J8" s="354"/>
      <c r="K8" s="355" t="s">
        <v>902</v>
      </c>
      <c r="L8" s="353"/>
    </row>
    <row r="10" spans="1:12" x14ac:dyDescent="0.25">
      <c r="A10" s="348">
        <v>2025</v>
      </c>
      <c r="C10" s="359">
        <f>Calculations!H27</f>
        <v>3.0516000000000001E-4</v>
      </c>
      <c r="E10" s="107">
        <f>-8505183*Calculations!H27</f>
        <v>-2595.4416442800002</v>
      </c>
      <c r="G10" s="107">
        <f>'Contributions &amp; Covered Payroll'!W27</f>
        <v>907950</v>
      </c>
      <c r="I10" s="200">
        <f t="shared" ref="I10:I17" si="0">-E10/G10</f>
        <v>2.8585733182223691E-3</v>
      </c>
      <c r="K10" s="138">
        <v>1.0009999999999999</v>
      </c>
    </row>
    <row r="11" spans="1:12" x14ac:dyDescent="0.25">
      <c r="A11" s="348">
        <v>2024</v>
      </c>
      <c r="C11" s="359">
        <f>Calculations!H26</f>
        <v>3.2830000000000001E-4</v>
      </c>
      <c r="E11" s="369">
        <f>-4047977*Calculations!H26</f>
        <v>-1328.9508491000001</v>
      </c>
      <c r="G11" s="107">
        <f>'Contributions &amp; Covered Payroll'!U27</f>
        <v>921033.3</v>
      </c>
      <c r="I11" s="200">
        <f t="shared" si="0"/>
        <v>1.4428912061051431E-3</v>
      </c>
      <c r="K11" s="138">
        <v>1</v>
      </c>
    </row>
    <row r="12" spans="1:12" x14ac:dyDescent="0.25">
      <c r="A12" s="348">
        <v>2023</v>
      </c>
      <c r="C12" s="359">
        <f>Calculations!H25</f>
        <v>3.9078000000000002E-4</v>
      </c>
      <c r="E12" s="369">
        <f>-9760450*Calculations!H25</f>
        <v>-3814.1886510000004</v>
      </c>
      <c r="G12" s="107">
        <f>'Contributions &amp; Covered Payroll'!S27</f>
        <v>1007966.7</v>
      </c>
      <c r="I12" s="200">
        <f t="shared" si="0"/>
        <v>3.7840423210409634E-3</v>
      </c>
      <c r="K12" s="138">
        <v>1.0009999999999999</v>
      </c>
    </row>
    <row r="13" spans="1:12" x14ac:dyDescent="0.25">
      <c r="A13" s="348">
        <v>2022</v>
      </c>
      <c r="C13" s="359">
        <f>Calculations!H24</f>
        <v>4.1510000000000001E-4</v>
      </c>
      <c r="E13" s="369">
        <f>-9450623*Calculations!H24</f>
        <v>-3922.9536072999999</v>
      </c>
      <c r="G13" s="107">
        <f>'Contributions &amp; Covered Payroll'!Q27</f>
        <v>991200</v>
      </c>
      <c r="I13" s="200">
        <f t="shared" si="0"/>
        <v>3.9577820896892655E-3</v>
      </c>
      <c r="K13" s="138">
        <v>1.0009999999999999</v>
      </c>
    </row>
    <row r="14" spans="1:12" x14ac:dyDescent="0.25">
      <c r="A14" s="348">
        <v>2021</v>
      </c>
      <c r="C14" s="359">
        <f>Calculations!H23</f>
        <v>3.9285999999999998E-4</v>
      </c>
      <c r="E14" s="369">
        <f>-765828854*Calculations!H23</f>
        <v>-300863.52358243999</v>
      </c>
      <c r="G14" s="107">
        <f>'Contributions &amp; Covered Payroll'!O27</f>
        <v>891533.36</v>
      </c>
      <c r="I14" s="200">
        <f t="shared" si="0"/>
        <v>0.33746748812903649</v>
      </c>
      <c r="K14" s="138">
        <v>1.0551999999999999</v>
      </c>
    </row>
    <row r="15" spans="1:12" x14ac:dyDescent="0.25">
      <c r="A15" s="348">
        <v>2020</v>
      </c>
      <c r="C15" s="359">
        <f>Calculations!H22</f>
        <v>3.7250599999999999E-4</v>
      </c>
      <c r="E15" s="369">
        <f>-4342980*Calculations!H22</f>
        <v>-1617.7861078799999</v>
      </c>
      <c r="G15" s="107">
        <f>'Contributions &amp; Covered Payroll'!M27</f>
        <v>817533.39999999991</v>
      </c>
      <c r="I15" s="200">
        <f t="shared" si="0"/>
        <v>1.978862402294512E-3</v>
      </c>
      <c r="K15" s="138">
        <v>1.0004</v>
      </c>
    </row>
    <row r="16" spans="1:12" x14ac:dyDescent="0.25">
      <c r="A16" s="348">
        <v>2019</v>
      </c>
      <c r="C16" s="359">
        <f>Calculations!H21</f>
        <v>3.4834599999999997E-4</v>
      </c>
      <c r="E16" s="369">
        <f>-10597261*Calculations!H21</f>
        <v>-3691.5134803059996</v>
      </c>
      <c r="G16" s="107">
        <f>'Contributions &amp; Covered Payroll'!K27</f>
        <v>740649.96000000008</v>
      </c>
      <c r="I16" s="200">
        <f t="shared" si="0"/>
        <v>4.9841540264256535E-3</v>
      </c>
      <c r="K16" s="138">
        <v>1.0008999999999999</v>
      </c>
    </row>
    <row r="17" spans="1:11" x14ac:dyDescent="0.25">
      <c r="A17" s="348">
        <v>2018</v>
      </c>
      <c r="C17" s="359">
        <f>Calculations!H20</f>
        <v>3.7250400000000001E-4</v>
      </c>
      <c r="E17" s="369">
        <f>-2332231*Calculations!H20</f>
        <v>-868.76537642400001</v>
      </c>
      <c r="G17" s="107">
        <f>'Contributions &amp; Covered Payroll'!I27</f>
        <v>774399.96000000008</v>
      </c>
      <c r="I17" s="200">
        <f t="shared" si="0"/>
        <v>1.1218561741971164E-3</v>
      </c>
      <c r="K17" s="138">
        <v>1.0002</v>
      </c>
    </row>
    <row r="18" spans="1:11" x14ac:dyDescent="0.25">
      <c r="A18" s="348">
        <v>2017</v>
      </c>
      <c r="C18" s="359">
        <f>Calculations!H19</f>
        <v>3.64612E-4</v>
      </c>
      <c r="E18" s="369">
        <f>-9075103*Calculations!H19</f>
        <v>-3308.891455036</v>
      </c>
      <c r="G18" s="107">
        <f>'Contributions &amp; Covered Payroll'!G27</f>
        <v>740816.67999999993</v>
      </c>
      <c r="I18" s="200">
        <f>-E18/G18</f>
        <v>4.4665455629805751E-3</v>
      </c>
      <c r="K18" s="138">
        <v>1.0009999999999999</v>
      </c>
    </row>
    <row r="19" spans="1:11" x14ac:dyDescent="0.25">
      <c r="A19" s="348">
        <v>2016</v>
      </c>
      <c r="C19" s="359">
        <f>Calculations!H18</f>
        <v>3.9829299999999998E-4</v>
      </c>
      <c r="E19" s="369">
        <f>337790175*Calculations!H18</f>
        <v>134539.46217127499</v>
      </c>
      <c r="G19" s="107">
        <f>'Contributions &amp; Covered Payroll'!E27</f>
        <v>757350</v>
      </c>
      <c r="I19" s="200">
        <f>E19/G19</f>
        <v>0.17764502828451179</v>
      </c>
      <c r="K19" s="138">
        <v>0.96889999999999998</v>
      </c>
    </row>
    <row r="22" spans="1:11" ht="27.6" customHeight="1" x14ac:dyDescent="0.25">
      <c r="A22" s="419" t="s">
        <v>903</v>
      </c>
      <c r="B22" s="419"/>
      <c r="C22" s="419"/>
      <c r="D22" s="419"/>
      <c r="E22" s="419"/>
      <c r="F22" s="419"/>
      <c r="G22" s="419"/>
      <c r="H22" s="419"/>
      <c r="I22" s="419"/>
      <c r="J22" s="419"/>
      <c r="K22" s="419"/>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activeCell="O15" sqref="O15"/>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20" t="s">
        <v>916</v>
      </c>
      <c r="B1" s="420"/>
      <c r="C1" s="420"/>
      <c r="D1" s="420"/>
      <c r="E1" s="420"/>
      <c r="F1" s="420"/>
      <c r="G1" s="420"/>
      <c r="H1" s="420"/>
      <c r="I1" s="420"/>
      <c r="J1" s="420"/>
      <c r="K1" s="420"/>
    </row>
    <row r="2" spans="1:11" s="102" customFormat="1" ht="15.6" x14ac:dyDescent="0.3">
      <c r="A2" s="420" t="s">
        <v>914</v>
      </c>
      <c r="B2" s="420"/>
      <c r="C2" s="420"/>
      <c r="D2" s="420"/>
      <c r="E2" s="420"/>
      <c r="F2" s="420"/>
      <c r="G2" s="420"/>
      <c r="H2" s="420"/>
      <c r="I2" s="420"/>
      <c r="J2" s="420"/>
      <c r="K2" s="420"/>
    </row>
    <row r="3" spans="1:11" ht="15.6" x14ac:dyDescent="0.3">
      <c r="A3" s="420" t="s">
        <v>915</v>
      </c>
      <c r="B3" s="420"/>
      <c r="C3" s="420"/>
      <c r="D3" s="420"/>
      <c r="E3" s="420"/>
      <c r="F3" s="420"/>
      <c r="G3" s="420"/>
      <c r="H3" s="420"/>
      <c r="I3" s="420"/>
      <c r="J3" s="420"/>
      <c r="K3" s="420"/>
    </row>
    <row r="4" spans="1:11" ht="9.75" customHeight="1" x14ac:dyDescent="0.3">
      <c r="A4" s="303"/>
    </row>
    <row r="5" spans="1:11" ht="15.6" x14ac:dyDescent="0.3">
      <c r="A5" s="420" t="s">
        <v>203</v>
      </c>
      <c r="B5" s="420"/>
      <c r="C5" s="420"/>
      <c r="D5" s="420"/>
      <c r="E5" s="420"/>
      <c r="F5" s="420"/>
      <c r="G5" s="420"/>
      <c r="H5" s="420"/>
      <c r="I5" s="420"/>
      <c r="J5" s="420"/>
      <c r="K5" s="420"/>
    </row>
    <row r="6" spans="1:11" x14ac:dyDescent="0.25">
      <c r="A6" s="104"/>
    </row>
    <row r="7" spans="1:11" x14ac:dyDescent="0.25">
      <c r="A7" s="421" t="s">
        <v>897</v>
      </c>
      <c r="B7" s="421"/>
      <c r="C7" s="421"/>
      <c r="D7" s="421"/>
      <c r="E7" s="421"/>
      <c r="F7" s="421"/>
      <c r="G7" s="421"/>
      <c r="H7" s="421"/>
      <c r="I7" s="421"/>
      <c r="J7" s="421"/>
      <c r="K7" s="421"/>
    </row>
    <row r="9" spans="1:11" s="105" customFormat="1" ht="69" x14ac:dyDescent="0.25">
      <c r="A9" s="355" t="s">
        <v>901</v>
      </c>
      <c r="B9" s="353"/>
      <c r="C9" s="355" t="s">
        <v>909</v>
      </c>
      <c r="D9" s="354"/>
      <c r="E9" s="355" t="s">
        <v>910</v>
      </c>
      <c r="F9" s="354"/>
      <c r="G9" s="355" t="s">
        <v>911</v>
      </c>
      <c r="H9" s="354"/>
      <c r="I9" s="355" t="s">
        <v>913</v>
      </c>
      <c r="J9" s="354"/>
      <c r="K9" s="355" t="s">
        <v>912</v>
      </c>
    </row>
    <row r="11" spans="1:11" x14ac:dyDescent="0.25">
      <c r="A11" s="348">
        <v>2025</v>
      </c>
      <c r="C11" s="107">
        <f>'Contributions &amp; Covered Payroll'!V25</f>
        <v>55021.740000000005</v>
      </c>
      <c r="E11" s="356">
        <f>'Contributions &amp; Covered Payroll'!V25</f>
        <v>55021.740000000005</v>
      </c>
      <c r="G11" s="357">
        <f>C11-E11</f>
        <v>0</v>
      </c>
      <c r="I11" s="107">
        <f>'Contributions &amp; Covered Payroll'!W25</f>
        <v>917028.96000000008</v>
      </c>
      <c r="K11" s="200">
        <f t="shared" ref="K11:K20" si="0">E11/I11</f>
        <v>6.0000002617147448E-2</v>
      </c>
    </row>
    <row r="12" spans="1:11" x14ac:dyDescent="0.25">
      <c r="A12" s="348">
        <v>2024</v>
      </c>
      <c r="C12" s="107">
        <f>'Contributions &amp; Covered Payroll'!T25</f>
        <v>54869.479999999996</v>
      </c>
      <c r="E12" s="356">
        <f>'Contributions &amp; Covered Payroll'!T25</f>
        <v>54869.479999999996</v>
      </c>
      <c r="G12" s="357">
        <f t="shared" ref="G12:G20" si="1">C12-E12</f>
        <v>0</v>
      </c>
      <c r="I12" s="107">
        <f>'Contributions &amp; Covered Payroll'!U25</f>
        <v>914491.32000000007</v>
      </c>
      <c r="K12" s="200">
        <f t="shared" si="0"/>
        <v>6.0000000874803262E-2</v>
      </c>
    </row>
    <row r="13" spans="1:11" x14ac:dyDescent="0.25">
      <c r="A13" s="348">
        <v>2023</v>
      </c>
      <c r="C13" s="107">
        <f>'Contributions &amp; Covered Payroll'!R25</f>
        <v>57870.039999999994</v>
      </c>
      <c r="E13" s="356">
        <f>'Contributions &amp; Covered Payroll'!R25</f>
        <v>57870.039999999994</v>
      </c>
      <c r="G13" s="357">
        <f t="shared" si="1"/>
        <v>0</v>
      </c>
      <c r="I13" s="107">
        <f>'Contributions &amp; Covered Payroll'!S25</f>
        <v>964500.66</v>
      </c>
      <c r="K13" s="200">
        <f t="shared" si="0"/>
        <v>6.0000000414722358E-2</v>
      </c>
    </row>
    <row r="14" spans="1:11" x14ac:dyDescent="0.25">
      <c r="A14" s="348">
        <v>2022</v>
      </c>
      <c r="C14" s="107">
        <f>'Contributions &amp; Covered Payroll'!P25</f>
        <v>59974.98</v>
      </c>
      <c r="E14" s="356">
        <f>'Contributions &amp; Covered Payroll'!P25</f>
        <v>59974.98</v>
      </c>
      <c r="G14" s="357">
        <f t="shared" si="1"/>
        <v>0</v>
      </c>
      <c r="I14" s="107">
        <f>'Contributions &amp; Covered Payroll'!Q25</f>
        <v>999583.02</v>
      </c>
      <c r="K14" s="200">
        <f t="shared" si="0"/>
        <v>5.9999998799499417E-2</v>
      </c>
    </row>
    <row r="15" spans="1:11" x14ac:dyDescent="0.25">
      <c r="A15" s="348">
        <v>2021</v>
      </c>
      <c r="C15" s="107">
        <f>'Contributions &amp; Covered Payroll'!N25</f>
        <v>56481.979999999996</v>
      </c>
      <c r="E15" s="356">
        <f>'Contributions &amp; Covered Payroll'!N25</f>
        <v>56481.979999999996</v>
      </c>
      <c r="G15" s="357">
        <f t="shared" si="1"/>
        <v>0</v>
      </c>
      <c r="I15" s="107">
        <f>'Contributions &amp; Covered Payroll'!O25</f>
        <v>941366.36</v>
      </c>
      <c r="K15" s="200">
        <f t="shared" si="0"/>
        <v>5.9999998300342916E-2</v>
      </c>
    </row>
    <row r="16" spans="1:11" x14ac:dyDescent="0.25">
      <c r="A16" s="348">
        <v>2020</v>
      </c>
      <c r="C16" s="107">
        <f>'Contributions &amp; Covered Payroll'!L25</f>
        <v>51272</v>
      </c>
      <c r="E16" s="356">
        <f>'Contributions &amp; Covered Payroll'!L25</f>
        <v>51272</v>
      </c>
      <c r="G16" s="357">
        <f t="shared" si="1"/>
        <v>0</v>
      </c>
      <c r="I16" s="107">
        <f>'Contributions &amp; Covered Payroll'!M25</f>
        <v>854533.35999999987</v>
      </c>
      <c r="K16" s="200">
        <f t="shared" si="0"/>
        <v>5.9999998127633083E-2</v>
      </c>
    </row>
    <row r="17" spans="1:11" x14ac:dyDescent="0.25">
      <c r="A17" s="348">
        <v>2019</v>
      </c>
      <c r="C17" s="107">
        <f>'Contributions &amp; Covered Payroll'!J25</f>
        <v>46745.52</v>
      </c>
      <c r="E17" s="356">
        <f>'Contributions &amp; Covered Payroll'!J25</f>
        <v>46745.52</v>
      </c>
      <c r="G17" s="357">
        <f t="shared" si="1"/>
        <v>0</v>
      </c>
      <c r="I17" s="107">
        <f>'Contributions &amp; Covered Payroll'!K25</f>
        <v>779092.02</v>
      </c>
      <c r="K17" s="200">
        <f t="shared" si="0"/>
        <v>5.9999998459745484E-2</v>
      </c>
    </row>
    <row r="18" spans="1:11" x14ac:dyDescent="0.25">
      <c r="A18" s="348">
        <v>2018</v>
      </c>
      <c r="C18" s="107">
        <f>'Contributions &amp; Covered Payroll'!H25</f>
        <v>45451.5</v>
      </c>
      <c r="E18" s="356">
        <f>'Contributions &amp; Covered Payroll'!H25</f>
        <v>45451.5</v>
      </c>
      <c r="G18" s="357">
        <f t="shared" si="1"/>
        <v>0</v>
      </c>
      <c r="I18" s="107">
        <f>'Contributions &amp; Covered Payroll'!I25</f>
        <v>757524.96000000008</v>
      </c>
      <c r="K18" s="200">
        <f t="shared" si="0"/>
        <v>6.0000003168212433E-2</v>
      </c>
    </row>
    <row r="19" spans="1:11" x14ac:dyDescent="0.25">
      <c r="A19" s="348">
        <v>2017</v>
      </c>
      <c r="C19" s="107">
        <f>'Contributions &amp; Covered Payroll'!F25</f>
        <v>45456.520000000004</v>
      </c>
      <c r="E19" s="356">
        <f>'Contributions &amp; Covered Payroll'!F25</f>
        <v>45456.520000000004</v>
      </c>
      <c r="G19" s="357">
        <f t="shared" si="1"/>
        <v>0</v>
      </c>
      <c r="I19" s="107">
        <f>'Contributions &amp; Covered Payroll'!G25</f>
        <v>757608.64000000013</v>
      </c>
      <c r="K19" s="200">
        <f t="shared" si="0"/>
        <v>6.0000002111908327E-2</v>
      </c>
    </row>
    <row r="20" spans="1:11" x14ac:dyDescent="0.25">
      <c r="A20" s="348">
        <v>2016</v>
      </c>
      <c r="C20" s="107">
        <f>'Contributions &amp; Covered Payroll'!D25</f>
        <v>44944.98</v>
      </c>
      <c r="E20" s="356">
        <f>'Contributions &amp; Covered Payroll'!D25</f>
        <v>44944.98</v>
      </c>
      <c r="G20" s="357">
        <f t="shared" si="1"/>
        <v>0</v>
      </c>
      <c r="I20" s="107">
        <f>'Contributions &amp; Covered Payroll'!E25</f>
        <v>749083.02</v>
      </c>
      <c r="K20" s="200">
        <f t="shared" si="0"/>
        <v>5.9999998398041383E-2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Fortin, Rod</cp:lastModifiedBy>
  <cp:lastPrinted>2024-12-31T15:41:06Z</cp:lastPrinted>
  <dcterms:created xsi:type="dcterms:W3CDTF">2016-05-17T04:02:26Z</dcterms:created>
  <dcterms:modified xsi:type="dcterms:W3CDTF">2025-12-31T04:31:26Z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2025-12-27T00:30:01Z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623e1e4c-5fef-41c0-ac7b-0801030fdf71</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